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PL\Comissão de Licitação - 2022\Pregões\PE 007 - Mão de Obra para refrigeração - 202200047000235\"/>
    </mc:Choice>
  </mc:AlternateContent>
  <xr:revisionPtr revIDLastSave="0" documentId="8_{90C8A537-1C1C-4A90-913A-4593A5319920}" xr6:coauthVersionLast="34" xr6:coauthVersionMax="34" xr10:uidLastSave="{00000000-0000-0000-0000-000000000000}"/>
  <bookViews>
    <workbookView xWindow="0" yWindow="0" windowWidth="16200" windowHeight="24825" tabRatio="893" activeTab="2" xr2:uid="{00000000-000D-0000-FFFF-FFFF00000000}"/>
  </bookViews>
  <sheets>
    <sheet name="RESUMO GERAL" sheetId="57" r:id="rId1"/>
    <sheet name="LDI" sheetId="48" r:id="rId2"/>
    <sheet name="Mão de obra" sheetId="58" r:id="rId3"/>
    <sheet name="Segurança Trabalho" sheetId="45" r:id="rId4"/>
    <sheet name="Encargos Sociais" sheetId="47" r:id="rId5"/>
    <sheet name="EPIs e Uniformes" sheetId="50" r:id="rId6"/>
  </sheets>
  <definedNames>
    <definedName name="_Fill" localSheetId="4" hidden="1">#REF!</definedName>
    <definedName name="_Fill" localSheetId="5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xlnm.Print_Area" localSheetId="4">'Encargos Sociais'!$A$1:$C$33</definedName>
    <definedName name="_xlnm.Print_Area" localSheetId="5">'EPIs e Uniformes'!$A$1:$I$18</definedName>
    <definedName name="_xlnm.Print_Area" localSheetId="1">LDI!$A$1:$C$12</definedName>
    <definedName name="_xlnm.Print_Area" localSheetId="2">'Mão de obra'!$A$1:$I$13</definedName>
    <definedName name="_xlnm.Print_Area" localSheetId="0">'RESUMO GERAL'!$A$1:$D$6</definedName>
    <definedName name="_xlnm.Print_Area" localSheetId="3">'Segurança Trabalho'!$A$1:$F$9</definedName>
    <definedName name="PERCENTUAL_ENCARGOS">'Encargos Sociais'!$C$33</definedName>
    <definedName name="QTD_MO" localSheetId="2">'Mão de obra'!$D$5:$D$7</definedName>
    <definedName name="TAXA_LDI">LDI!$C$12</definedName>
    <definedName name="VALOR_TOTAL_EXAMES_MENSAL_MO">'Segurança Trabalho'!$F$9</definedName>
    <definedName name="VALOR_TOTAL_MENSAL_MO" localSheetId="2">'Mão de obra'!$I$13</definedName>
    <definedName name="VALOR_TOTAL_MENSAL_MO">'Segurança Trabalho'!$F$9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0" l="1"/>
  <c r="D12" i="50"/>
  <c r="D9" i="50"/>
  <c r="D8" i="50"/>
  <c r="D7" i="50"/>
  <c r="D4" i="50"/>
  <c r="I4" i="50"/>
  <c r="D10" i="58"/>
  <c r="D11" i="58"/>
  <c r="D12" i="58"/>
  <c r="I7" i="58"/>
  <c r="I17" i="50" l="1"/>
  <c r="G6" i="58" l="1"/>
  <c r="C12" i="48" l="1"/>
  <c r="C28" i="47"/>
  <c r="E8" i="45" l="1"/>
  <c r="E7" i="45"/>
  <c r="E6" i="45"/>
  <c r="E5" i="45"/>
  <c r="H11" i="58"/>
  <c r="H10" i="58"/>
  <c r="H9" i="58"/>
  <c r="G5" i="58" l="1"/>
  <c r="I12" i="58" l="1"/>
  <c r="I9" i="58" l="1"/>
  <c r="I6" i="50" l="1"/>
  <c r="I7" i="50"/>
  <c r="I8" i="50"/>
  <c r="I9" i="50"/>
  <c r="I11" i="50"/>
  <c r="I12" i="50"/>
  <c r="I13" i="50"/>
  <c r="I14" i="50"/>
  <c r="I15" i="50"/>
  <c r="I10" i="50"/>
  <c r="F8" i="45" l="1"/>
  <c r="I11" i="58"/>
  <c r="I10" i="58"/>
  <c r="F5" i="45" l="1"/>
  <c r="F7" i="45"/>
  <c r="F6" i="45"/>
  <c r="C3" i="47"/>
  <c r="C13" i="47"/>
  <c r="F9" i="45" l="1"/>
  <c r="D4" i="57" l="1"/>
  <c r="C23" i="47" l="1"/>
  <c r="C33" i="47" s="1"/>
  <c r="E4" i="50"/>
  <c r="I18" i="50" s="1"/>
  <c r="H6" i="58" l="1"/>
  <c r="I6" i="58" s="1"/>
  <c r="C4" i="57"/>
  <c r="D5" i="57" l="1"/>
  <c r="C5" i="57" l="1"/>
  <c r="H7" i="58" l="1"/>
  <c r="H5" i="58"/>
  <c r="I5" i="58" s="1"/>
  <c r="I13" i="58" l="1"/>
  <c r="C3" i="57" s="1"/>
  <c r="C6" i="57" s="1"/>
  <c r="D3" i="57" l="1"/>
  <c r="D6" i="57" s="1"/>
</calcChain>
</file>

<file path=xl/sharedStrings.xml><?xml version="1.0" encoding="utf-8"?>
<sst xmlns="http://schemas.openxmlformats.org/spreadsheetml/2006/main" count="215" uniqueCount="172">
  <si>
    <t>UN</t>
  </si>
  <si>
    <t>1.0</t>
  </si>
  <si>
    <t>1.1</t>
  </si>
  <si>
    <t>DESCRIÇÃO</t>
  </si>
  <si>
    <t>un</t>
  </si>
  <si>
    <t>2.0</t>
  </si>
  <si>
    <t>2.1</t>
  </si>
  <si>
    <t>2.2</t>
  </si>
  <si>
    <t>QUANT.</t>
  </si>
  <si>
    <t>1.2</t>
  </si>
  <si>
    <t>BASE</t>
  </si>
  <si>
    <t>CUSTO UNITÁRIO (R$)</t>
  </si>
  <si>
    <t>Mão de obra</t>
  </si>
  <si>
    <t>PERCENTUAL</t>
  </si>
  <si>
    <t>A.1</t>
  </si>
  <si>
    <t>A.2</t>
  </si>
  <si>
    <t>A.3</t>
  </si>
  <si>
    <t>A.4</t>
  </si>
  <si>
    <t>A.5</t>
  </si>
  <si>
    <t>A.6</t>
  </si>
  <si>
    <t>A.7</t>
  </si>
  <si>
    <t>A.8</t>
  </si>
  <si>
    <t>SEBRAE</t>
  </si>
  <si>
    <t>INCRA</t>
  </si>
  <si>
    <t>Aviso Prévio Trabalhado</t>
  </si>
  <si>
    <t>13º Salário</t>
  </si>
  <si>
    <t>Aviso Prévio Indenizado</t>
  </si>
  <si>
    <t>Lucro</t>
  </si>
  <si>
    <t>ISS</t>
  </si>
  <si>
    <t>PIS</t>
  </si>
  <si>
    <t>COFINS</t>
  </si>
  <si>
    <t>PERICULOSIDADE 30%</t>
  </si>
  <si>
    <t>CUSTO UNITÁRIO 1 (R$)</t>
  </si>
  <si>
    <t>CUSTO UNITÁRIO 2 (R$)</t>
  </si>
  <si>
    <t>CUSTO UNITÁRIO 3 (R$)</t>
  </si>
  <si>
    <t>CUSTO UNITÁRIO MÉDIO (R$)</t>
  </si>
  <si>
    <t>pc</t>
  </si>
  <si>
    <t>Auxílio transporte</t>
  </si>
  <si>
    <t>Uniformes</t>
  </si>
  <si>
    <t>EPIs</t>
  </si>
  <si>
    <t>Luva de vinil descartável transparente, pacote com 100 unidades.</t>
  </si>
  <si>
    <t>Capa de chuva amarela com forro. Ref. Safety Delta</t>
  </si>
  <si>
    <t>par</t>
  </si>
  <si>
    <t>cj</t>
  </si>
  <si>
    <t>CUSTO TOTAL MENSAL (R$)</t>
  </si>
  <si>
    <t>4.0</t>
  </si>
  <si>
    <t>4.1</t>
  </si>
  <si>
    <t>5.0</t>
  </si>
  <si>
    <t>5.1</t>
  </si>
  <si>
    <t>5.2</t>
  </si>
  <si>
    <t>5.3</t>
  </si>
  <si>
    <t>5.8</t>
  </si>
  <si>
    <t>INSALUBRIDADE 20%</t>
  </si>
  <si>
    <t>-</t>
  </si>
  <si>
    <t>ITEM</t>
  </si>
  <si>
    <t>CUSTO TOTAL</t>
  </si>
  <si>
    <t>Salário Educação</t>
  </si>
  <si>
    <t>VALOR TOTAL ANUAL ESTIMADO</t>
  </si>
  <si>
    <t>C.1</t>
  </si>
  <si>
    <t>C.2</t>
  </si>
  <si>
    <t>C.3</t>
  </si>
  <si>
    <t>C.4</t>
  </si>
  <si>
    <t>B.1</t>
  </si>
  <si>
    <t>B.2</t>
  </si>
  <si>
    <t>B.3</t>
  </si>
  <si>
    <t>B.4</t>
  </si>
  <si>
    <t>B.5</t>
  </si>
  <si>
    <t>B.6</t>
  </si>
  <si>
    <t>B.7</t>
  </si>
  <si>
    <t>B.8</t>
  </si>
  <si>
    <t>D.1</t>
  </si>
  <si>
    <t>E.1</t>
  </si>
  <si>
    <t>E.2</t>
  </si>
  <si>
    <t>INSS</t>
  </si>
  <si>
    <t>FGTS</t>
  </si>
  <si>
    <t>SENAI/SENAC</t>
  </si>
  <si>
    <t>SESI/SESC</t>
  </si>
  <si>
    <t>Licença Paternidade</t>
  </si>
  <si>
    <t>Incidência dos encargos do grupo A sobre o grupo B</t>
  </si>
  <si>
    <t>LDI.1</t>
  </si>
  <si>
    <t>LDI.2</t>
  </si>
  <si>
    <t>LDI.3</t>
  </si>
  <si>
    <t>LDI.4</t>
  </si>
  <si>
    <t>LDI.5</t>
  </si>
  <si>
    <t>R.1</t>
  </si>
  <si>
    <t>R.3</t>
  </si>
  <si>
    <t>VALOR TOTAL MENSAL ESTIMADO</t>
  </si>
  <si>
    <t>PERCENTUAL TOTAL DO LDI</t>
  </si>
  <si>
    <t>Salários</t>
  </si>
  <si>
    <t>Benefícios</t>
  </si>
  <si>
    <t>CUSTO UNITÁRIO SEM ENCARGOS(R$)</t>
  </si>
  <si>
    <t>3.0</t>
  </si>
  <si>
    <t>3.1</t>
  </si>
  <si>
    <t>3.2</t>
  </si>
  <si>
    <t>3.3</t>
  </si>
  <si>
    <t>3.4</t>
  </si>
  <si>
    <t>Luva de vaqueta para rapel com proteção especial. Ref. Tec Mater UC0695</t>
  </si>
  <si>
    <t>PERCENTUAL TOTAL ESTIMADO  DE ENCARGOS SOCIAIS</t>
  </si>
  <si>
    <t>CUSTOS DIRETOS - EXAMES E SEGURANÇA DO TRABALHO</t>
  </si>
  <si>
    <t>CUSTO TOTAL ANUAL (R$)</t>
  </si>
  <si>
    <t>Exames admissionais obrigatórios (atestado de saúde ocupacional, exame clínico, audiometria, RX digital de tórax, espirometria, eletrocardiograma, glicemia completo, acuidade visual e psicológico)</t>
  </si>
  <si>
    <t>Exames demissionais obrigatórios (atestado de saúde ocupacional, exame clínico, audiometria, RX digital de tórax, espirometria, eletrocardiograma, glicemia completo, acuidade visual e psicológico)</t>
  </si>
  <si>
    <t>Exames periódicos obrigatórios (atestado de saúde ocupacional, exame clínico, audiometria, RX digital de tórax, espirometria, eletrocardiograma, glicemia completo, acuidade visual e psicológico)</t>
  </si>
  <si>
    <t>R.2</t>
  </si>
  <si>
    <t>Mão de obra - Exames e Segurança Trabalho</t>
  </si>
  <si>
    <t>2.3</t>
  </si>
  <si>
    <t>CUSTO UNITÁRIO COM ENCARGOS (R$)</t>
  </si>
  <si>
    <t>2.4</t>
  </si>
  <si>
    <t>Auxílio transporte (desconto Art. 4° da Lei 7.418/85)</t>
  </si>
  <si>
    <t>COMPOSIÇÃO DA TAXA DE 
LUCRO E DESPESAS INDIRETAS (LDI)</t>
  </si>
  <si>
    <t>Auxílio alimentação</t>
  </si>
  <si>
    <t>Seguro de vida em grupo</t>
  </si>
  <si>
    <t>CUSTO ANUAL COM LDI</t>
  </si>
  <si>
    <t>CUSTO MENSAL COM LDI</t>
  </si>
  <si>
    <t>QUANTITATIVO ESTIMADO ANUAL</t>
  </si>
  <si>
    <t>CUSTO TOTAL ESTIMADO ANUAL (R$)</t>
  </si>
  <si>
    <t>Exames e Segurança do Trabalho</t>
  </si>
  <si>
    <t>5.4</t>
  </si>
  <si>
    <t>5.5</t>
  </si>
  <si>
    <t>5.6</t>
  </si>
  <si>
    <t>5.9</t>
  </si>
  <si>
    <t>5.11</t>
  </si>
  <si>
    <t>5.12</t>
  </si>
  <si>
    <t>Segurança do Trabalho: Assessorias técnicas, Laudos, Avaliações, Treinamentos, Programas de Controle Médico de Saúde Ocupacional (PCMSO) e de Prevenção de Riscos Ambientais (PPRA) e cursos</t>
  </si>
  <si>
    <t>Seguro contra acidente do trabalho INSS</t>
  </si>
  <si>
    <t>SECONCI</t>
  </si>
  <si>
    <t>A.9</t>
  </si>
  <si>
    <t>Repouso semanal remunerado</t>
  </si>
  <si>
    <t>Feriados</t>
  </si>
  <si>
    <t>Auxílio Enfermidade</t>
  </si>
  <si>
    <t>Auxílio Acidente</t>
  </si>
  <si>
    <t>Licença Maternidade</t>
  </si>
  <si>
    <t>Faltas Justificadas</t>
  </si>
  <si>
    <t>Férias + 1/3</t>
  </si>
  <si>
    <t>B.9</t>
  </si>
  <si>
    <t>Multa por Rescisão do Contrato de Trabalho sem Justa Causo</t>
  </si>
  <si>
    <t>Idenização Adicional</t>
  </si>
  <si>
    <t>Grupo A - ENCARGOS SOCIAIS</t>
  </si>
  <si>
    <t>Grupo B - ENCARGOS TRABALHISTAS</t>
  </si>
  <si>
    <t>Grupo C - ENCARGOS INDENIZATÓRIOS</t>
  </si>
  <si>
    <t>Grupo D - INCIDÊNCIAS CUMULATIVAS</t>
  </si>
  <si>
    <t>Incidência do FGTS sobre o aviso prévio</t>
  </si>
  <si>
    <t>Incidência de multa do FGTS sobre o aviso prévio</t>
  </si>
  <si>
    <t>Administração central</t>
  </si>
  <si>
    <t>Despesas financeiras</t>
  </si>
  <si>
    <t>Seguros + Garantias</t>
  </si>
  <si>
    <t>Riscos</t>
  </si>
  <si>
    <t>LDI.6</t>
  </si>
  <si>
    <t>LDI.7</t>
  </si>
  <si>
    <t>LDI.8</t>
  </si>
  <si>
    <t>LDI.9</t>
  </si>
  <si>
    <t>CPRB</t>
  </si>
  <si>
    <t xml:space="preserve">Conjunto uniforme manutenção predial: conjunto de calça jeans e camisa. </t>
  </si>
  <si>
    <t>Capacete com aba total e jugualar. Ref. MAS CA 365 ou de melhor qualidade.</t>
  </si>
  <si>
    <t>Bota impermeável de PVC com cano médio, antiderrapante. Ref. Vonder ou de melhor qualidade</t>
  </si>
  <si>
    <t>Bota Segurança Ecosafety Bico PVC + Palmilha Anatômica, cor Nobuck Café, CA 40677. Ref. Ecosafety Nobuck ou de melhor qualidade</t>
  </si>
  <si>
    <t>Óculos de segurança escuro com lentes em policarbonato anti-risco e anti-embaçante, com proteção contra raios UVA e UVB e com meia proteção lateral. Ref. CarboGrafite 620487 ou de melhor qualidade</t>
  </si>
  <si>
    <t>Óculos de segurança incolor com lentes em policarbonato anti-impacto, permite o uso de óculos ópticos, com proteção contra raios UVA e UVB e com meia proteção lateral. Ref. CarboGrafite 620493 ou de melhor qualidade</t>
  </si>
  <si>
    <t>Par de luvas reforçada com 7 cm de punho,  tamanhos M, P e G. Ref. Protezza ou de melhor qualidade</t>
  </si>
  <si>
    <t>Protetor auricular tipo concha. Ref. 3M HB004188494 ou de melhor qualidade</t>
  </si>
  <si>
    <t>CUSTOS DIRETOS: EPIS, UNIFORMES E ART</t>
  </si>
  <si>
    <t>ART</t>
  </si>
  <si>
    <t>Anotação de Responsabilidade Técnica - ART de execução</t>
  </si>
  <si>
    <t>1.3</t>
  </si>
  <si>
    <t>Encarregado de Refrigeração</t>
  </si>
  <si>
    <t>Uniformes, EPIs e ART</t>
  </si>
  <si>
    <t>COMPOSIÇÃO DE ENCARGOS SOCIAIS MENSALISTA (COM DESONERAÇÃO)</t>
  </si>
  <si>
    <t>RESUMO GERAL</t>
  </si>
  <si>
    <t xml:space="preserve">Técnico de Refrigeração - Categoria "C" </t>
  </si>
  <si>
    <t>hh</t>
  </si>
  <si>
    <t>Engenheiro Mecânico de Refrigeração (64h por mês sob demanda)</t>
  </si>
  <si>
    <t>CUSTOS DIRETOS - MÃO DE OBRA CONFORME CCT E GOINFRA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</si>
</sst>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  <numFmt numFmtId="177" formatCode="0.00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5" fillId="0" borderId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top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3" fillId="22" borderId="2" applyNumberFormat="0" applyAlignment="0" applyProtection="0"/>
    <xf numFmtId="0" fontId="14" fillId="23" borderId="3" applyNumberFormat="0" applyAlignment="0" applyProtection="0"/>
    <xf numFmtId="0" fontId="15" fillId="0" borderId="0">
      <protection locked="0"/>
    </xf>
    <xf numFmtId="0" fontId="8" fillId="0" borderId="0"/>
    <xf numFmtId="168" fontId="16" fillId="0" borderId="0" applyFont="0" applyFill="0" applyBorder="0" applyAlignment="0" applyProtection="0"/>
    <xf numFmtId="0" fontId="9" fillId="0" borderId="0"/>
    <xf numFmtId="169" fontId="17" fillId="0" borderId="0"/>
    <xf numFmtId="0" fontId="18" fillId="0" borderId="0" applyNumberFormat="0" applyFill="0" applyBorder="0" applyAlignment="0" applyProtection="0"/>
    <xf numFmtId="170" fontId="15" fillId="0" borderId="0">
      <protection locked="0"/>
    </xf>
    <xf numFmtId="0" fontId="19" fillId="6" borderId="0" applyNumberFormat="0" applyBorder="0" applyAlignment="0" applyProtection="0"/>
    <xf numFmtId="0" fontId="20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2" applyNumberFormat="0" applyAlignment="0" applyProtection="0"/>
    <xf numFmtId="0" fontId="26" fillId="0" borderId="7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5" fillId="26" borderId="8" applyNumberFormat="0" applyAlignment="0" applyProtection="0"/>
    <xf numFmtId="0" fontId="29" fillId="22" borderId="9" applyNumberFormat="0" applyAlignment="0" applyProtection="0"/>
    <xf numFmtId="172" fontId="15" fillId="0" borderId="0">
      <protection locked="0"/>
    </xf>
    <xf numFmtId="173" fontId="15" fillId="0" borderId="0">
      <protection locked="0"/>
    </xf>
    <xf numFmtId="0" fontId="30" fillId="0" borderId="0"/>
    <xf numFmtId="174" fontId="3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75" fontId="33" fillId="0" borderId="0">
      <protection locked="0"/>
    </xf>
    <xf numFmtId="175" fontId="33" fillId="0" borderId="0">
      <protection locked="0"/>
    </xf>
    <xf numFmtId="49" fontId="4" fillId="0" borderId="0" applyNumberFormat="0" applyFont="0" applyFill="0" applyBorder="0" applyAlignment="0" applyProtection="0">
      <alignment horizontal="center"/>
    </xf>
    <xf numFmtId="49" fontId="4" fillId="0" borderId="0" applyNumberFormat="0" applyFont="0" applyFill="0" applyBorder="0" applyAlignment="0" applyProtection="0">
      <alignment horizontal="center"/>
    </xf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5" fillId="0" borderId="0" xfId="0" applyNumberFormat="1" applyFont="1" applyFill="1"/>
    <xf numFmtId="0" fontId="35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2" fontId="36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36" fillId="0" borderId="1" xfId="2" applyNumberFormat="1" applyFont="1" applyFill="1" applyBorder="1" applyAlignment="1">
      <alignment horizontal="left" vertical="center" wrapText="1"/>
    </xf>
    <xf numFmtId="166" fontId="3" fillId="27" borderId="1" xfId="1" applyNumberFormat="1" applyFont="1" applyFill="1" applyBorder="1" applyAlignment="1">
      <alignment horizontal="center" vertical="center" wrapText="1"/>
    </xf>
    <xf numFmtId="166" fontId="3" fillId="28" borderId="1" xfId="1" applyNumberFormat="1" applyFont="1" applyFill="1" applyBorder="1" applyAlignment="1">
      <alignment horizontal="center" vertical="center" wrapText="1"/>
    </xf>
    <xf numFmtId="166" fontId="3" fillId="29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5" fillId="3" borderId="1" xfId="0" applyFont="1" applyFill="1" applyBorder="1" applyAlignment="1">
      <alignment horizontal="justify" wrapText="1"/>
    </xf>
    <xf numFmtId="166" fontId="3" fillId="3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/>
    <xf numFmtId="166" fontId="1" fillId="0" borderId="0" xfId="0" applyNumberFormat="1" applyFont="1" applyFill="1" applyAlignment="1">
      <alignment horizontal="center"/>
    </xf>
    <xf numFmtId="2" fontId="35" fillId="3" borderId="1" xfId="0" applyNumberFormat="1" applyFont="1" applyFill="1" applyBorder="1" applyAlignment="1">
      <alignment horizontal="justify" wrapText="1"/>
    </xf>
    <xf numFmtId="2" fontId="36" fillId="0" borderId="1" xfId="3" applyNumberFormat="1" applyFont="1" applyFill="1" applyBorder="1" applyAlignment="1" applyProtection="1">
      <alignment horizontal="center" vertical="center"/>
    </xf>
    <xf numFmtId="2" fontId="36" fillId="2" borderId="1" xfId="2" applyNumberFormat="1" applyFont="1" applyFill="1" applyBorder="1" applyAlignment="1">
      <alignment horizontal="left" vertical="center" wrapText="1"/>
    </xf>
    <xf numFmtId="166" fontId="3" fillId="3" borderId="1" xfId="2" applyNumberFormat="1" applyFont="1" applyFill="1" applyBorder="1" applyAlignment="1">
      <alignment horizontal="center" vertical="center"/>
    </xf>
    <xf numFmtId="0" fontId="3" fillId="0" borderId="14" xfId="2" applyNumberFormat="1" applyFont="1" applyFill="1" applyBorder="1" applyAlignment="1">
      <alignment horizontal="center" vertical="center"/>
    </xf>
    <xf numFmtId="10" fontId="36" fillId="0" borderId="15" xfId="271" applyNumberFormat="1" applyFont="1" applyFill="1" applyBorder="1" applyAlignment="1" applyProtection="1">
      <alignment horizontal="center" vertical="center"/>
    </xf>
    <xf numFmtId="10" fontId="3" fillId="3" borderId="18" xfId="271" applyNumberFormat="1" applyFont="1" applyFill="1" applyBorder="1" applyAlignment="1">
      <alignment horizontal="center" vertical="center"/>
    </xf>
    <xf numFmtId="0" fontId="35" fillId="3" borderId="14" xfId="0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0" fontId="3" fillId="2" borderId="14" xfId="2" applyNumberFormat="1" applyFont="1" applyFill="1" applyBorder="1" applyAlignment="1">
      <alignment horizontal="center" vertical="center" wrapText="1"/>
    </xf>
    <xf numFmtId="177" fontId="3" fillId="3" borderId="15" xfId="271" applyNumberFormat="1" applyFont="1" applyFill="1" applyBorder="1" applyAlignment="1">
      <alignment horizontal="center" vertical="center" wrapText="1"/>
    </xf>
    <xf numFmtId="177" fontId="36" fillId="2" borderId="15" xfId="271" applyNumberFormat="1" applyFont="1" applyFill="1" applyBorder="1" applyAlignment="1" applyProtection="1">
      <alignment horizontal="center" vertical="center" wrapText="1"/>
    </xf>
    <xf numFmtId="177" fontId="1" fillId="0" borderId="0" xfId="271" applyNumberFormat="1" applyFont="1" applyFill="1" applyAlignment="1">
      <alignment horizontal="center" vertical="center"/>
    </xf>
    <xf numFmtId="0" fontId="36" fillId="0" borderId="14" xfId="2" applyNumberFormat="1" applyFont="1" applyFill="1" applyBorder="1" applyAlignment="1">
      <alignment horizontal="center" vertical="center"/>
    </xf>
    <xf numFmtId="166" fontId="3" fillId="3" borderId="15" xfId="1" applyNumberFormat="1" applyFont="1" applyFill="1" applyBorder="1" applyAlignment="1" applyProtection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7" fillId="32" borderId="14" xfId="2" applyFont="1" applyFill="1" applyBorder="1" applyAlignment="1">
      <alignment horizontal="center" vertical="center" wrapText="1"/>
    </xf>
    <xf numFmtId="2" fontId="36" fillId="0" borderId="22" xfId="2" applyNumberFormat="1" applyFont="1" applyFill="1" applyBorder="1" applyAlignment="1">
      <alignment horizontal="left" vertical="center" wrapText="1"/>
    </xf>
    <xf numFmtId="2" fontId="36" fillId="0" borderId="22" xfId="2" applyNumberFormat="1" applyFont="1" applyFill="1" applyBorder="1" applyAlignment="1">
      <alignment horizontal="center" vertical="center"/>
    </xf>
    <xf numFmtId="2" fontId="36" fillId="0" borderId="22" xfId="3" applyNumberFormat="1" applyFont="1" applyFill="1" applyBorder="1" applyAlignment="1" applyProtection="1">
      <alignment horizontal="center" vertical="center"/>
    </xf>
    <xf numFmtId="166" fontId="37" fillId="31" borderId="1" xfId="1" applyNumberFormat="1" applyFont="1" applyFill="1" applyBorder="1" applyAlignment="1">
      <alignment horizontal="center" vertical="center" wrapText="1"/>
    </xf>
    <xf numFmtId="0" fontId="37" fillId="34" borderId="14" xfId="2" applyNumberFormat="1" applyFont="1" applyFill="1" applyBorder="1" applyAlignment="1">
      <alignment horizontal="center" vertical="center"/>
    </xf>
    <xf numFmtId="2" fontId="39" fillId="34" borderId="1" xfId="2" applyNumberFormat="1" applyFont="1" applyFill="1" applyBorder="1" applyAlignment="1">
      <alignment horizontal="left" vertical="center" wrapText="1"/>
    </xf>
    <xf numFmtId="0" fontId="37" fillId="32" borderId="1" xfId="2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30" borderId="0" xfId="0" applyFont="1" applyFill="1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center"/>
    </xf>
    <xf numFmtId="176" fontId="39" fillId="33" borderId="1" xfId="27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right" vertical="center"/>
    </xf>
    <xf numFmtId="176" fontId="36" fillId="0" borderId="15" xfId="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center" vertical="center"/>
    </xf>
    <xf numFmtId="176" fontId="3" fillId="3" borderId="1" xfId="1" applyNumberFormat="1" applyFont="1" applyFill="1" applyBorder="1" applyAlignment="1" applyProtection="1">
      <alignment horizontal="center" vertical="center"/>
    </xf>
    <xf numFmtId="176" fontId="3" fillId="3" borderId="15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right" vertical="center"/>
    </xf>
    <xf numFmtId="176" fontId="36" fillId="0" borderId="23" xfId="1" applyNumberFormat="1" applyFont="1" applyFill="1" applyBorder="1" applyAlignment="1" applyProtection="1">
      <alignment horizontal="right" vertical="center"/>
    </xf>
    <xf numFmtId="176" fontId="41" fillId="0" borderId="23" xfId="1" applyNumberFormat="1" applyFont="1" applyFill="1" applyBorder="1" applyAlignment="1" applyProtection="1">
      <alignment horizontal="right" vertical="center"/>
    </xf>
    <xf numFmtId="176" fontId="3" fillId="3" borderId="18" xfId="1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 applyProtection="1">
      <alignment horizontal="right" vertical="center"/>
    </xf>
    <xf numFmtId="176" fontId="35" fillId="3" borderId="1" xfId="0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7" fillId="31" borderId="15" xfId="1" applyNumberFormat="1" applyFont="1" applyFill="1" applyBorder="1" applyAlignment="1">
      <alignment horizontal="center" vertical="center" wrapText="1"/>
    </xf>
    <xf numFmtId="176" fontId="39" fillId="33" borderId="15" xfId="271" applyNumberFormat="1" applyFont="1" applyFill="1" applyBorder="1" applyAlignment="1" applyProtection="1">
      <alignment horizontal="right" vertical="center"/>
    </xf>
    <xf numFmtId="176" fontId="37" fillId="31" borderId="17" xfId="271" applyNumberFormat="1" applyFont="1" applyFill="1" applyBorder="1" applyAlignment="1">
      <alignment horizontal="right" vertical="center"/>
    </xf>
    <xf numFmtId="176" fontId="37" fillId="31" borderId="18" xfId="271" applyNumberFormat="1" applyFont="1" applyFill="1" applyBorder="1" applyAlignment="1">
      <alignment horizontal="right" vertical="center"/>
    </xf>
    <xf numFmtId="166" fontId="35" fillId="3" borderId="15" xfId="0" applyNumberFormat="1" applyFont="1" applyFill="1" applyBorder="1" applyAlignment="1">
      <alignment horizontal="justify" wrapText="1"/>
    </xf>
    <xf numFmtId="176" fontId="35" fillId="3" borderId="15" xfId="0" applyNumberFormat="1" applyFont="1" applyFill="1" applyBorder="1" applyAlignment="1">
      <alignment horizontal="right" vertical="center" wrapText="1"/>
    </xf>
    <xf numFmtId="176" fontId="37" fillId="3" borderId="18" xfId="1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/>
    <xf numFmtId="0" fontId="0" fillId="0" borderId="0" xfId="0" applyFont="1" applyFill="1" applyAlignment="1">
      <alignment wrapText="1"/>
    </xf>
    <xf numFmtId="10" fontId="1" fillId="0" borderId="0" xfId="0" applyNumberFormat="1" applyFont="1" applyFill="1" applyAlignment="1">
      <alignment horizontal="center" wrapText="1"/>
    </xf>
    <xf numFmtId="176" fontId="42" fillId="0" borderId="1" xfId="1" applyNumberFormat="1" applyFont="1" applyFill="1" applyBorder="1" applyAlignment="1" applyProtection="1">
      <alignment horizontal="right" vertical="center"/>
    </xf>
    <xf numFmtId="10" fontId="36" fillId="0" borderId="15" xfId="271" applyNumberFormat="1" applyFont="1" applyFill="1" applyBorder="1" applyAlignment="1" applyProtection="1">
      <alignment horizontal="center" vertical="center" wrapText="1"/>
    </xf>
    <xf numFmtId="10" fontId="35" fillId="3" borderId="15" xfId="271" applyNumberFormat="1" applyFont="1" applyFill="1" applyBorder="1" applyAlignment="1">
      <alignment horizontal="center" vertical="center" wrapText="1"/>
    </xf>
    <xf numFmtId="166" fontId="37" fillId="32" borderId="16" xfId="1" applyFont="1" applyFill="1" applyBorder="1" applyAlignment="1">
      <alignment horizontal="center" vertical="center"/>
    </xf>
    <xf numFmtId="166" fontId="37" fillId="32" borderId="17" xfId="1" applyFont="1" applyFill="1" applyBorder="1" applyAlignment="1">
      <alignment horizontal="center" vertical="center"/>
    </xf>
    <xf numFmtId="0" fontId="38" fillId="32" borderId="11" xfId="2" applyFont="1" applyFill="1" applyBorder="1" applyAlignment="1">
      <alignment horizontal="center" vertical="center" wrapText="1"/>
    </xf>
    <xf numFmtId="0" fontId="38" fillId="32" borderId="12" xfId="2" applyFont="1" applyFill="1" applyBorder="1" applyAlignment="1">
      <alignment horizontal="center" vertical="center" wrapText="1"/>
    </xf>
    <xf numFmtId="0" fontId="38" fillId="32" borderId="13" xfId="2" applyFont="1" applyFill="1" applyBorder="1" applyAlignment="1">
      <alignment horizontal="center" vertical="center" wrapText="1"/>
    </xf>
    <xf numFmtId="0" fontId="40" fillId="3" borderId="11" xfId="2" applyFont="1" applyFill="1" applyBorder="1" applyAlignment="1">
      <alignment horizontal="center" vertical="center" wrapText="1"/>
    </xf>
    <xf numFmtId="0" fontId="40" fillId="3" borderId="12" xfId="2" applyFont="1" applyFill="1" applyBorder="1" applyAlignment="1">
      <alignment horizontal="center" vertical="center" wrapText="1"/>
    </xf>
    <xf numFmtId="0" fontId="40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6" fontId="3" fillId="3" borderId="16" xfId="1" applyFont="1" applyFill="1" applyBorder="1" applyAlignment="1">
      <alignment horizontal="center" vertical="center"/>
    </xf>
    <xf numFmtId="166" fontId="3" fillId="3" borderId="17" xfId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7" fillId="3" borderId="16" xfId="1" applyFont="1" applyFill="1" applyBorder="1" applyAlignment="1">
      <alignment horizontal="center" vertical="center"/>
    </xf>
    <xf numFmtId="166" fontId="37" fillId="3" borderId="17" xfId="1" applyFont="1" applyFill="1" applyBorder="1" applyAlignment="1">
      <alignment horizontal="center" vertical="center"/>
    </xf>
    <xf numFmtId="0" fontId="40" fillId="3" borderId="19" xfId="2" applyFont="1" applyFill="1" applyBorder="1" applyAlignment="1">
      <alignment horizontal="center" vertical="center" wrapText="1"/>
    </xf>
    <xf numFmtId="0" fontId="40" fillId="3" borderId="20" xfId="2" applyFont="1" applyFill="1" applyBorder="1" applyAlignment="1">
      <alignment horizontal="center" vertical="center" wrapText="1"/>
    </xf>
    <xf numFmtId="0" fontId="40" fillId="3" borderId="24" xfId="2" applyFont="1" applyFill="1" applyBorder="1" applyAlignment="1">
      <alignment horizontal="center" vertical="center" wrapText="1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3" xfId="148" xr:uid="{00000000-0005-0000-0000-00008D000000}"/>
    <cellStyle name="Normal 2 4" xfId="149" xr:uid="{00000000-0005-0000-0000-00008E000000}"/>
    <cellStyle name="Normal 2 5" xfId="150" xr:uid="{00000000-0005-0000-0000-00008F000000}"/>
    <cellStyle name="Normal 2 6" xfId="151" xr:uid="{00000000-0005-0000-0000-000090000000}"/>
    <cellStyle name="Normal 2 7" xfId="152" xr:uid="{00000000-0005-0000-0000-000091000000}"/>
    <cellStyle name="Normal 2 8" xfId="153" xr:uid="{00000000-0005-0000-0000-000092000000}"/>
    <cellStyle name="Normal 2 9" xfId="154" xr:uid="{00000000-0005-0000-0000-000093000000}"/>
    <cellStyle name="Normal 2_1  Academia de Policia Memoria" xfId="155" xr:uid="{00000000-0005-0000-0000-000094000000}"/>
    <cellStyle name="Normal 20" xfId="156" xr:uid="{00000000-0005-0000-0000-000095000000}"/>
    <cellStyle name="Normal 21" xfId="157" xr:uid="{00000000-0005-0000-0000-000096000000}"/>
    <cellStyle name="Normal 22" xfId="158" xr:uid="{00000000-0005-0000-0000-000097000000}"/>
    <cellStyle name="Normal 23" xfId="159" xr:uid="{00000000-0005-0000-0000-000098000000}"/>
    <cellStyle name="Normal 24" xfId="160" xr:uid="{00000000-0005-0000-0000-000099000000}"/>
    <cellStyle name="Normal 25" xfId="161" xr:uid="{00000000-0005-0000-0000-00009A000000}"/>
    <cellStyle name="Normal 26" xfId="162" xr:uid="{00000000-0005-0000-0000-00009B000000}"/>
    <cellStyle name="Normal 27" xfId="163" xr:uid="{00000000-0005-0000-0000-00009C000000}"/>
    <cellStyle name="Normal 28" xfId="164" xr:uid="{00000000-0005-0000-0000-00009D000000}"/>
    <cellStyle name="Normal 29" xfId="165" xr:uid="{00000000-0005-0000-0000-00009E000000}"/>
    <cellStyle name="Normal 3" xfId="2" xr:uid="{00000000-0005-0000-0000-00009F000000}"/>
    <cellStyle name="Normal 30" xfId="166" xr:uid="{00000000-0005-0000-0000-0000A0000000}"/>
    <cellStyle name="Normal 31" xfId="167" xr:uid="{00000000-0005-0000-0000-0000A1000000}"/>
    <cellStyle name="Normal 32" xfId="168" xr:uid="{00000000-0005-0000-0000-0000A2000000}"/>
    <cellStyle name="Normal 33" xfId="169" xr:uid="{00000000-0005-0000-0000-0000A3000000}"/>
    <cellStyle name="Normal 34" xfId="170" xr:uid="{00000000-0005-0000-0000-0000A4000000}"/>
    <cellStyle name="Normal 35" xfId="171" xr:uid="{00000000-0005-0000-0000-0000A5000000}"/>
    <cellStyle name="Normal 36" xfId="172" xr:uid="{00000000-0005-0000-0000-0000A6000000}"/>
    <cellStyle name="Normal 37" xfId="173" xr:uid="{00000000-0005-0000-0000-0000A7000000}"/>
    <cellStyle name="Normal 38" xfId="174" xr:uid="{00000000-0005-0000-0000-0000A8000000}"/>
    <cellStyle name="Normal 39" xfId="175" xr:uid="{00000000-0005-0000-0000-0000A9000000}"/>
    <cellStyle name="Normal 4" xfId="5" xr:uid="{00000000-0005-0000-0000-0000AA000000}"/>
    <cellStyle name="Normal 40" xfId="176" xr:uid="{00000000-0005-0000-0000-0000AB000000}"/>
    <cellStyle name="Normal 41" xfId="177" xr:uid="{00000000-0005-0000-0000-0000AC000000}"/>
    <cellStyle name="Normal 42" xfId="178" xr:uid="{00000000-0005-0000-0000-0000AD000000}"/>
    <cellStyle name="Normal 43" xfId="179" xr:uid="{00000000-0005-0000-0000-0000AE000000}"/>
    <cellStyle name="Normal 44" xfId="180" xr:uid="{00000000-0005-0000-0000-0000AF000000}"/>
    <cellStyle name="Normal 45" xfId="181" xr:uid="{00000000-0005-0000-0000-0000B0000000}"/>
    <cellStyle name="Normal 46" xfId="182" xr:uid="{00000000-0005-0000-0000-0000B1000000}"/>
    <cellStyle name="Normal 47" xfId="183" xr:uid="{00000000-0005-0000-0000-0000B2000000}"/>
    <cellStyle name="Normal 48" xfId="184" xr:uid="{00000000-0005-0000-0000-0000B3000000}"/>
    <cellStyle name="Normal 49" xfId="185" xr:uid="{00000000-0005-0000-0000-0000B4000000}"/>
    <cellStyle name="Normal 5" xfId="9" xr:uid="{00000000-0005-0000-0000-0000B5000000}"/>
    <cellStyle name="Normal 50" xfId="186" xr:uid="{00000000-0005-0000-0000-0000B6000000}"/>
    <cellStyle name="Normal 51" xfId="187" xr:uid="{00000000-0005-0000-0000-0000B7000000}"/>
    <cellStyle name="Normal 52" xfId="188" xr:uid="{00000000-0005-0000-0000-0000B8000000}"/>
    <cellStyle name="Normal 53" xfId="189" xr:uid="{00000000-0005-0000-0000-0000B9000000}"/>
    <cellStyle name="Normal 54" xfId="190" xr:uid="{00000000-0005-0000-0000-0000BA000000}"/>
    <cellStyle name="Normal 55" xfId="191" xr:uid="{00000000-0005-0000-0000-0000BB000000}"/>
    <cellStyle name="Normal 56" xfId="10" xr:uid="{00000000-0005-0000-0000-0000BC000000}"/>
    <cellStyle name="Normal 6" xfId="192" xr:uid="{00000000-0005-0000-0000-0000BD000000}"/>
    <cellStyle name="Normal 7" xfId="193" xr:uid="{00000000-0005-0000-0000-0000BE000000}"/>
    <cellStyle name="Normal 8" xfId="194" xr:uid="{00000000-0005-0000-0000-0000BF000000}"/>
    <cellStyle name="Normal 9" xfId="195" xr:uid="{00000000-0005-0000-0000-0000C0000000}"/>
    <cellStyle name="Nota 10" xfId="196" xr:uid="{00000000-0005-0000-0000-0000C1000000}"/>
    <cellStyle name="Nota 11" xfId="197" xr:uid="{00000000-0005-0000-0000-0000C2000000}"/>
    <cellStyle name="Nota 12" xfId="198" xr:uid="{00000000-0005-0000-0000-0000C3000000}"/>
    <cellStyle name="Nota 13" xfId="199" xr:uid="{00000000-0005-0000-0000-0000C4000000}"/>
    <cellStyle name="Nota 14" xfId="200" xr:uid="{00000000-0005-0000-0000-0000C5000000}"/>
    <cellStyle name="Nota 15" xfId="201" xr:uid="{00000000-0005-0000-0000-0000C6000000}"/>
    <cellStyle name="Nota 16" xfId="202" xr:uid="{00000000-0005-0000-0000-0000C7000000}"/>
    <cellStyle name="Nota 17" xfId="203" xr:uid="{00000000-0005-0000-0000-0000C8000000}"/>
    <cellStyle name="Nota 18" xfId="204" xr:uid="{00000000-0005-0000-0000-0000C9000000}"/>
    <cellStyle name="Nota 19" xfId="205" xr:uid="{00000000-0005-0000-0000-0000CA000000}"/>
    <cellStyle name="Nota 2" xfId="206" xr:uid="{00000000-0005-0000-0000-0000CB000000}"/>
    <cellStyle name="Nota 20" xfId="207" xr:uid="{00000000-0005-0000-0000-0000CC000000}"/>
    <cellStyle name="Nota 21" xfId="208" xr:uid="{00000000-0005-0000-0000-0000CD000000}"/>
    <cellStyle name="Nota 22" xfId="209" xr:uid="{00000000-0005-0000-0000-0000CE000000}"/>
    <cellStyle name="Nota 23" xfId="210" xr:uid="{00000000-0005-0000-0000-0000CF000000}"/>
    <cellStyle name="Nota 24" xfId="211" xr:uid="{00000000-0005-0000-0000-0000D0000000}"/>
    <cellStyle name="Nota 25" xfId="212" xr:uid="{00000000-0005-0000-0000-0000D1000000}"/>
    <cellStyle name="Nota 26" xfId="213" xr:uid="{00000000-0005-0000-0000-0000D2000000}"/>
    <cellStyle name="Nota 27" xfId="214" xr:uid="{00000000-0005-0000-0000-0000D3000000}"/>
    <cellStyle name="Nota 28" xfId="215" xr:uid="{00000000-0005-0000-0000-0000D4000000}"/>
    <cellStyle name="Nota 29" xfId="216" xr:uid="{00000000-0005-0000-0000-0000D5000000}"/>
    <cellStyle name="Nota 3" xfId="217" xr:uid="{00000000-0005-0000-0000-0000D6000000}"/>
    <cellStyle name="Nota 30" xfId="218" xr:uid="{00000000-0005-0000-0000-0000D7000000}"/>
    <cellStyle name="Nota 31" xfId="219" xr:uid="{00000000-0005-0000-0000-0000D8000000}"/>
    <cellStyle name="Nota 32" xfId="220" xr:uid="{00000000-0005-0000-0000-0000D9000000}"/>
    <cellStyle name="Nota 33" xfId="221" xr:uid="{00000000-0005-0000-0000-0000DA000000}"/>
    <cellStyle name="Nota 34" xfId="222" xr:uid="{00000000-0005-0000-0000-0000DB000000}"/>
    <cellStyle name="Nota 35" xfId="223" xr:uid="{00000000-0005-0000-0000-0000DC000000}"/>
    <cellStyle name="Nota 36" xfId="224" xr:uid="{00000000-0005-0000-0000-0000DD000000}"/>
    <cellStyle name="Nota 37" xfId="225" xr:uid="{00000000-0005-0000-0000-0000DE000000}"/>
    <cellStyle name="Nota 38" xfId="226" xr:uid="{00000000-0005-0000-0000-0000DF000000}"/>
    <cellStyle name="Nota 39" xfId="227" xr:uid="{00000000-0005-0000-0000-0000E0000000}"/>
    <cellStyle name="Nota 4" xfId="228" xr:uid="{00000000-0005-0000-0000-0000E1000000}"/>
    <cellStyle name="Nota 40" xfId="229" xr:uid="{00000000-0005-0000-0000-0000E2000000}"/>
    <cellStyle name="Nota 41" xfId="230" xr:uid="{00000000-0005-0000-0000-0000E3000000}"/>
    <cellStyle name="Nota 42" xfId="231" xr:uid="{00000000-0005-0000-0000-0000E4000000}"/>
    <cellStyle name="Nota 43" xfId="232" xr:uid="{00000000-0005-0000-0000-0000E5000000}"/>
    <cellStyle name="Nota 44" xfId="233" xr:uid="{00000000-0005-0000-0000-0000E6000000}"/>
    <cellStyle name="Nota 45" xfId="234" xr:uid="{00000000-0005-0000-0000-0000E7000000}"/>
    <cellStyle name="Nota 46" xfId="235" xr:uid="{00000000-0005-0000-0000-0000E8000000}"/>
    <cellStyle name="Nota 47" xfId="236" xr:uid="{00000000-0005-0000-0000-0000E9000000}"/>
    <cellStyle name="Nota 48" xfId="237" xr:uid="{00000000-0005-0000-0000-0000EA000000}"/>
    <cellStyle name="Nota 49" xfId="238" xr:uid="{00000000-0005-0000-0000-0000EB000000}"/>
    <cellStyle name="Nota 5" xfId="239" xr:uid="{00000000-0005-0000-0000-0000EC000000}"/>
    <cellStyle name="Nota 50" xfId="240" xr:uid="{00000000-0005-0000-0000-0000ED000000}"/>
    <cellStyle name="Nota 51" xfId="241" xr:uid="{00000000-0005-0000-0000-0000EE000000}"/>
    <cellStyle name="Nota 52" xfId="242" xr:uid="{00000000-0005-0000-0000-0000EF000000}"/>
    <cellStyle name="Nota 53" xfId="243" xr:uid="{00000000-0005-0000-0000-0000F0000000}"/>
    <cellStyle name="Nota 54" xfId="244" xr:uid="{00000000-0005-0000-0000-0000F1000000}"/>
    <cellStyle name="Nota 55" xfId="245" xr:uid="{00000000-0005-0000-0000-0000F2000000}"/>
    <cellStyle name="Nota 6" xfId="246" xr:uid="{00000000-0005-0000-0000-0000F3000000}"/>
    <cellStyle name="Nota 7" xfId="247" xr:uid="{00000000-0005-0000-0000-0000F4000000}"/>
    <cellStyle name="Nota 8" xfId="248" xr:uid="{00000000-0005-0000-0000-0000F5000000}"/>
    <cellStyle name="Nota 9" xfId="249" xr:uid="{00000000-0005-0000-0000-0000F6000000}"/>
    <cellStyle name="Note" xfId="250" xr:uid="{00000000-0005-0000-0000-0000F7000000}"/>
    <cellStyle name="Output" xfId="251" xr:uid="{00000000-0005-0000-0000-0000F8000000}"/>
    <cellStyle name="Percentual" xfId="252" xr:uid="{00000000-0005-0000-0000-0000F9000000}"/>
    <cellStyle name="Ponto" xfId="253" xr:uid="{00000000-0005-0000-0000-0000FA000000}"/>
    <cellStyle name="Porcentagem" xfId="271" builtinId="5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Warning Text" xfId="270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107675</xdr:rowOff>
    </xdr:from>
    <xdr:to>
      <xdr:col>5</xdr:col>
      <xdr:colOff>937400</xdr:colOff>
      <xdr:row>18</xdr:row>
      <xdr:rowOff>136867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3DA5B-93BA-4A8C-AC28-9EFFED81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9718"/>
          <a:ext cx="6569574" cy="1172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14"/>
  <sheetViews>
    <sheetView topLeftCell="D1" zoomScale="175" zoomScaleNormal="175" zoomScaleSheetLayoutView="100" workbookViewId="0">
      <selection activeCell="E9" sqref="E9"/>
    </sheetView>
  </sheetViews>
  <sheetFormatPr defaultColWidth="9.140625" defaultRowHeight="15"/>
  <cols>
    <col min="1" max="1" width="8.7109375" style="1" customWidth="1"/>
    <col min="2" max="2" width="46.140625" style="10" customWidth="1"/>
    <col min="3" max="3" width="27.28515625" style="15" customWidth="1"/>
    <col min="4" max="4" width="25.85546875" style="10" customWidth="1"/>
    <col min="5" max="5" width="24" style="10" customWidth="1"/>
    <col min="6" max="16384" width="9.140625" style="10"/>
  </cols>
  <sheetData>
    <row r="1" spans="1:4" ht="29.25" customHeight="1">
      <c r="A1" s="80" t="s">
        <v>167</v>
      </c>
      <c r="B1" s="81"/>
      <c r="C1" s="81"/>
      <c r="D1" s="82"/>
    </row>
    <row r="2" spans="1:4" ht="15.75">
      <c r="A2" s="34" t="s">
        <v>54</v>
      </c>
      <c r="B2" s="41" t="s">
        <v>3</v>
      </c>
      <c r="C2" s="38" t="s">
        <v>113</v>
      </c>
      <c r="D2" s="65" t="s">
        <v>112</v>
      </c>
    </row>
    <row r="3" spans="1:4" ht="15.75">
      <c r="A3" s="39" t="s">
        <v>84</v>
      </c>
      <c r="B3" s="40" t="s">
        <v>12</v>
      </c>
      <c r="C3" s="47">
        <f>'Mão de obra'!VALOR_TOTAL_MENSAL_MO*(1+TAXA_LDI)</f>
        <v>17555.967182439454</v>
      </c>
      <c r="D3" s="66">
        <f>C3*12</f>
        <v>210671.60618927344</v>
      </c>
    </row>
    <row r="4" spans="1:4" ht="15.75">
      <c r="A4" s="39" t="s">
        <v>103</v>
      </c>
      <c r="B4" s="40" t="s">
        <v>104</v>
      </c>
      <c r="C4" s="47">
        <f>D4/12</f>
        <v>493.93024379007278</v>
      </c>
      <c r="D4" s="66">
        <f>VALOR_TOTAL_EXAMES_MENSAL_MO*(1+TAXA_LDI)</f>
        <v>5927.1629254808731</v>
      </c>
    </row>
    <row r="5" spans="1:4" ht="15.75">
      <c r="A5" s="39" t="s">
        <v>85</v>
      </c>
      <c r="B5" s="40" t="s">
        <v>165</v>
      </c>
      <c r="C5" s="47">
        <f>D5/12</f>
        <v>346.66544834114273</v>
      </c>
      <c r="D5" s="66">
        <f>'EPIs e Uniformes'!I18*(1+TAXA_LDI)</f>
        <v>4159.9853800937126</v>
      </c>
    </row>
    <row r="6" spans="1:4" s="5" customFormat="1" ht="16.5" thickBot="1">
      <c r="A6" s="78" t="s">
        <v>55</v>
      </c>
      <c r="B6" s="79"/>
      <c r="C6" s="67">
        <f>SUM(C3:C5)</f>
        <v>18396.562874570671</v>
      </c>
      <c r="D6" s="68">
        <f>SUM(D3:D5)</f>
        <v>220758.75449484802</v>
      </c>
    </row>
    <row r="10" spans="1:4">
      <c r="D10" s="72"/>
    </row>
    <row r="11" spans="1:4">
      <c r="D11" s="72"/>
    </row>
    <row r="14" spans="1:4">
      <c r="C14" s="46"/>
    </row>
  </sheetData>
  <mergeCells count="2">
    <mergeCell ref="A6:B6"/>
    <mergeCell ref="A1:D1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(62)3228-2508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12"/>
  <sheetViews>
    <sheetView zoomScale="115" zoomScaleNormal="115" zoomScaleSheetLayoutView="100" workbookViewId="0">
      <selection activeCell="C9" sqref="C9"/>
    </sheetView>
  </sheetViews>
  <sheetFormatPr defaultColWidth="9.140625" defaultRowHeight="15"/>
  <cols>
    <col min="1" max="1" width="8.7109375" style="1" customWidth="1"/>
    <col min="2" max="2" width="41.140625" style="10" customWidth="1"/>
    <col min="3" max="3" width="13.28515625" style="15" customWidth="1"/>
    <col min="4" max="4" width="9.140625" style="10"/>
    <col min="5" max="5" width="12.140625" style="10" bestFit="1" customWidth="1"/>
    <col min="6" max="6" width="24" style="10" customWidth="1"/>
    <col min="7" max="16384" width="9.140625" style="10"/>
  </cols>
  <sheetData>
    <row r="1" spans="1:3" ht="48" customHeight="1">
      <c r="A1" s="83" t="s">
        <v>109</v>
      </c>
      <c r="B1" s="84"/>
      <c r="C1" s="85"/>
    </row>
    <row r="2" spans="1:3" ht="22.5" customHeight="1">
      <c r="A2" s="86" t="s">
        <v>3</v>
      </c>
      <c r="B2" s="87"/>
      <c r="C2" s="64" t="s">
        <v>13</v>
      </c>
    </row>
    <row r="3" spans="1:3">
      <c r="A3" s="20" t="s">
        <v>79</v>
      </c>
      <c r="B3" s="6" t="s">
        <v>143</v>
      </c>
      <c r="C3" s="21">
        <v>0.04</v>
      </c>
    </row>
    <row r="4" spans="1:3">
      <c r="A4" s="20" t="s">
        <v>80</v>
      </c>
      <c r="B4" s="6" t="s">
        <v>27</v>
      </c>
      <c r="C4" s="21">
        <v>7.1999999999999995E-2</v>
      </c>
    </row>
    <row r="5" spans="1:3">
      <c r="A5" s="20" t="s">
        <v>81</v>
      </c>
      <c r="B5" s="6" t="s">
        <v>144</v>
      </c>
      <c r="C5" s="21">
        <v>3.7000000000000002E-3</v>
      </c>
    </row>
    <row r="6" spans="1:3">
      <c r="A6" s="20" t="s">
        <v>82</v>
      </c>
      <c r="B6" s="6" t="s">
        <v>145</v>
      </c>
      <c r="C6" s="21">
        <v>1.1999999999999999E-3</v>
      </c>
    </row>
    <row r="7" spans="1:3">
      <c r="A7" s="20" t="s">
        <v>83</v>
      </c>
      <c r="B7" s="6" t="s">
        <v>146</v>
      </c>
      <c r="C7" s="21">
        <v>9.7000000000000003E-3</v>
      </c>
    </row>
    <row r="8" spans="1:3">
      <c r="A8" s="20" t="s">
        <v>147</v>
      </c>
      <c r="B8" s="6" t="s">
        <v>28</v>
      </c>
      <c r="C8" s="21">
        <v>0</v>
      </c>
    </row>
    <row r="9" spans="1:3">
      <c r="A9" s="20" t="s">
        <v>148</v>
      </c>
      <c r="B9" s="6" t="s">
        <v>29</v>
      </c>
      <c r="C9" s="21">
        <v>6.4999999999999997E-3</v>
      </c>
    </row>
    <row r="10" spans="1:3">
      <c r="A10" s="20" t="s">
        <v>149</v>
      </c>
      <c r="B10" s="6" t="s">
        <v>30</v>
      </c>
      <c r="C10" s="21">
        <v>0.03</v>
      </c>
    </row>
    <row r="11" spans="1:3">
      <c r="A11" s="20" t="s">
        <v>150</v>
      </c>
      <c r="B11" s="18" t="s">
        <v>151</v>
      </c>
      <c r="C11" s="21">
        <v>4.4999999999999998E-2</v>
      </c>
    </row>
    <row r="12" spans="1:3" s="5" customFormat="1" ht="24.75" customHeight="1" thickBot="1">
      <c r="A12" s="88" t="s">
        <v>87</v>
      </c>
      <c r="B12" s="89"/>
      <c r="C12" s="22">
        <f>(((1+C3+C6+C7)*(1+C5)*(1+C4))/(1-(C8+C9+C10+C11)))-1</f>
        <v>0.23106487725639657</v>
      </c>
    </row>
  </sheetData>
  <mergeCells count="3">
    <mergeCell ref="A1:C1"/>
    <mergeCell ref="A2:B2"/>
    <mergeCell ref="A12:B12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13"/>
  <sheetViews>
    <sheetView tabSelected="1" view="pageBreakPreview" zoomScale="160" zoomScaleNormal="100" zoomScaleSheetLayoutView="160" workbookViewId="0">
      <selection activeCell="A2" sqref="A2:B3"/>
    </sheetView>
  </sheetViews>
  <sheetFormatPr defaultColWidth="9.140625" defaultRowHeight="15"/>
  <cols>
    <col min="1" max="1" width="6.5703125" style="3" customWidth="1"/>
    <col min="2" max="2" width="51.5703125" style="10" customWidth="1"/>
    <col min="3" max="3" width="5.5703125" style="10" customWidth="1"/>
    <col min="4" max="4" width="9.7109375" style="14" customWidth="1"/>
    <col min="5" max="5" width="13" style="15" customWidth="1"/>
    <col min="6" max="6" width="15.85546875" style="15" customWidth="1"/>
    <col min="7" max="7" width="16.7109375" style="15" customWidth="1"/>
    <col min="8" max="8" width="17" style="15" customWidth="1"/>
    <col min="9" max="9" width="15.140625" style="15" customWidth="1"/>
    <col min="10" max="10" width="9.140625" style="10"/>
    <col min="11" max="11" width="12.140625" style="10" bestFit="1" customWidth="1"/>
    <col min="12" max="12" width="24" style="10" customWidth="1"/>
    <col min="13" max="16384" width="9.140625" style="10"/>
  </cols>
  <sheetData>
    <row r="1" spans="1:9" ht="35.25" customHeight="1">
      <c r="A1" s="83" t="s">
        <v>171</v>
      </c>
      <c r="B1" s="84"/>
      <c r="C1" s="84"/>
      <c r="D1" s="84"/>
      <c r="E1" s="84"/>
      <c r="F1" s="84"/>
      <c r="G1" s="84"/>
      <c r="H1" s="84"/>
      <c r="I1" s="85"/>
    </row>
    <row r="2" spans="1:9" ht="21.75" customHeight="1">
      <c r="A2" s="86" t="s">
        <v>3</v>
      </c>
      <c r="B2" s="87"/>
      <c r="C2" s="87" t="s">
        <v>0</v>
      </c>
      <c r="D2" s="90" t="s">
        <v>8</v>
      </c>
      <c r="E2" s="91" t="s">
        <v>90</v>
      </c>
      <c r="F2" s="91"/>
      <c r="G2" s="91"/>
      <c r="H2" s="92" t="s">
        <v>106</v>
      </c>
      <c r="I2" s="93" t="s">
        <v>44</v>
      </c>
    </row>
    <row r="3" spans="1:9" ht="30">
      <c r="A3" s="86"/>
      <c r="B3" s="87"/>
      <c r="C3" s="87"/>
      <c r="D3" s="90"/>
      <c r="E3" s="19" t="s">
        <v>10</v>
      </c>
      <c r="F3" s="63" t="s">
        <v>52</v>
      </c>
      <c r="G3" s="63" t="s">
        <v>31</v>
      </c>
      <c r="H3" s="92"/>
      <c r="I3" s="93"/>
    </row>
    <row r="4" spans="1:9" ht="12.75" customHeight="1">
      <c r="A4" s="23" t="s">
        <v>1</v>
      </c>
      <c r="B4" s="11" t="s">
        <v>88</v>
      </c>
      <c r="C4" s="11"/>
      <c r="D4" s="11"/>
      <c r="E4" s="12"/>
      <c r="F4" s="12"/>
      <c r="G4" s="12"/>
      <c r="H4" s="12"/>
      <c r="I4" s="30"/>
    </row>
    <row r="5" spans="1:9" ht="12.75" customHeight="1">
      <c r="A5" s="20" t="s">
        <v>2</v>
      </c>
      <c r="B5" s="6" t="s">
        <v>168</v>
      </c>
      <c r="C5" s="4" t="s">
        <v>4</v>
      </c>
      <c r="D5" s="17">
        <v>1</v>
      </c>
      <c r="E5" s="48">
        <v>1859</v>
      </c>
      <c r="F5" s="48">
        <v>0</v>
      </c>
      <c r="G5" s="48">
        <f>E5*0.3</f>
        <v>557.69999999999993</v>
      </c>
      <c r="H5" s="48">
        <f t="shared" ref="H5:H7" si="0">SUM(E5:G5)*(1+PERCENTUAL_ENCARGOS)</f>
        <v>3666.8589099999999</v>
      </c>
      <c r="I5" s="49">
        <f>H5*D5</f>
        <v>3666.8589099999999</v>
      </c>
    </row>
    <row r="6" spans="1:9" ht="12.75" customHeight="1">
      <c r="A6" s="20" t="s">
        <v>9</v>
      </c>
      <c r="B6" s="6" t="s">
        <v>164</v>
      </c>
      <c r="C6" s="4" t="s">
        <v>4</v>
      </c>
      <c r="D6" s="17">
        <v>1</v>
      </c>
      <c r="E6" s="48">
        <v>2640</v>
      </c>
      <c r="F6" s="48">
        <v>0</v>
      </c>
      <c r="G6" s="48">
        <f>E6*0.3</f>
        <v>792</v>
      </c>
      <c r="H6" s="48">
        <f t="shared" si="0"/>
        <v>5207.3735999999999</v>
      </c>
      <c r="I6" s="49">
        <f>H6*D6</f>
        <v>5207.3735999999999</v>
      </c>
    </row>
    <row r="7" spans="1:9" ht="30">
      <c r="A7" s="20" t="s">
        <v>163</v>
      </c>
      <c r="B7" s="6" t="s">
        <v>170</v>
      </c>
      <c r="C7" s="4" t="s">
        <v>169</v>
      </c>
      <c r="D7" s="17">
        <v>64</v>
      </c>
      <c r="E7" s="48">
        <v>42.5</v>
      </c>
      <c r="F7" s="48">
        <v>0</v>
      </c>
      <c r="G7" s="48">
        <v>0</v>
      </c>
      <c r="H7" s="48">
        <f t="shared" si="0"/>
        <v>64.485250000000008</v>
      </c>
      <c r="I7" s="49">
        <f>H7*D7</f>
        <v>4127.0560000000005</v>
      </c>
    </row>
    <row r="8" spans="1:9" ht="12.75" customHeight="1">
      <c r="A8" s="23" t="s">
        <v>5</v>
      </c>
      <c r="B8" s="11" t="s">
        <v>89</v>
      </c>
      <c r="C8" s="11"/>
      <c r="D8" s="11"/>
      <c r="E8" s="51"/>
      <c r="F8" s="51"/>
      <c r="G8" s="51"/>
      <c r="H8" s="51"/>
      <c r="I8" s="52"/>
    </row>
    <row r="9" spans="1:9" ht="12.75" customHeight="1">
      <c r="A9" s="31" t="s">
        <v>6</v>
      </c>
      <c r="B9" s="6" t="s">
        <v>111</v>
      </c>
      <c r="C9" s="4" t="s">
        <v>4</v>
      </c>
      <c r="D9" s="17">
        <v>2</v>
      </c>
      <c r="E9" s="50" t="s">
        <v>53</v>
      </c>
      <c r="F9" s="53" t="s">
        <v>53</v>
      </c>
      <c r="G9" s="53" t="s">
        <v>53</v>
      </c>
      <c r="H9" s="54">
        <f>AVERAGE(11.17,12.59)*1.045</f>
        <v>12.414599999999998</v>
      </c>
      <c r="I9" s="55">
        <f>D9*H9</f>
        <v>24.829199999999997</v>
      </c>
    </row>
    <row r="10" spans="1:9">
      <c r="A10" s="31" t="s">
        <v>7</v>
      </c>
      <c r="B10" s="6" t="s">
        <v>110</v>
      </c>
      <c r="C10" s="4" t="s">
        <v>4</v>
      </c>
      <c r="D10" s="17">
        <f>2*22+4*4</f>
        <v>60</v>
      </c>
      <c r="E10" s="50" t="s">
        <v>53</v>
      </c>
      <c r="F10" s="53" t="s">
        <v>53</v>
      </c>
      <c r="G10" s="53" t="s">
        <v>53</v>
      </c>
      <c r="H10" s="54">
        <f>20*1.045</f>
        <v>20.9</v>
      </c>
      <c r="I10" s="55">
        <f>D10*H10</f>
        <v>1254</v>
      </c>
    </row>
    <row r="11" spans="1:9" ht="12.75" customHeight="1">
      <c r="A11" s="31" t="s">
        <v>105</v>
      </c>
      <c r="B11" s="6" t="s">
        <v>37</v>
      </c>
      <c r="C11" s="4" t="s">
        <v>4</v>
      </c>
      <c r="D11" s="17">
        <f>2*22*2</f>
        <v>88</v>
      </c>
      <c r="E11" s="50" t="s">
        <v>53</v>
      </c>
      <c r="F11" s="53" t="s">
        <v>53</v>
      </c>
      <c r="G11" s="53" t="s">
        <v>53</v>
      </c>
      <c r="H11" s="54">
        <f>4.5*1.045</f>
        <v>4.7024999999999997</v>
      </c>
      <c r="I11" s="55">
        <f>D11*H11</f>
        <v>413.82</v>
      </c>
    </row>
    <row r="12" spans="1:9" ht="12.75" customHeight="1">
      <c r="A12" s="31" t="s">
        <v>107</v>
      </c>
      <c r="B12" s="6" t="s">
        <v>108</v>
      </c>
      <c r="C12" s="4" t="s">
        <v>4</v>
      </c>
      <c r="D12" s="17">
        <f>2*22*2</f>
        <v>88</v>
      </c>
      <c r="E12" s="50" t="s">
        <v>53</v>
      </c>
      <c r="F12" s="53" t="s">
        <v>53</v>
      </c>
      <c r="G12" s="53" t="s">
        <v>53</v>
      </c>
      <c r="H12" s="54" t="s">
        <v>53</v>
      </c>
      <c r="I12" s="56">
        <f>SUMPRODUCT(QTD_MO,E5:E7)*-0.06</f>
        <v>-433.14</v>
      </c>
    </row>
    <row r="13" spans="1:9" s="5" customFormat="1" ht="26.25" customHeight="1" thickBot="1">
      <c r="A13" s="88" t="s">
        <v>86</v>
      </c>
      <c r="B13" s="89"/>
      <c r="C13" s="89"/>
      <c r="D13" s="89"/>
      <c r="E13" s="89"/>
      <c r="F13" s="89"/>
      <c r="G13" s="89"/>
      <c r="H13" s="89"/>
      <c r="I13" s="57">
        <f>SUM(I5:I12)</f>
        <v>14260.797710000001</v>
      </c>
    </row>
  </sheetData>
  <sortState ref="B23:I25">
    <sortCondition ref="B23:B25"/>
  </sortState>
  <mergeCells count="8">
    <mergeCell ref="A13:H13"/>
    <mergeCell ref="A1:I1"/>
    <mergeCell ref="A2:B3"/>
    <mergeCell ref="C2:C3"/>
    <mergeCell ref="D2:D3"/>
    <mergeCell ref="E2:G2"/>
    <mergeCell ref="H2:H3"/>
    <mergeCell ref="I2:I3"/>
  </mergeCells>
  <printOptions horizontalCentered="1"/>
  <pageMargins left="0.51181102362204722" right="0.51181102362204722" top="1.1811023622047245" bottom="0.78740157480314965" header="0.31496062992125984" footer="0.31496062992125984"/>
  <pageSetup paperSize="9" scale="8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I13"/>
  <sheetViews>
    <sheetView view="pageBreakPreview" zoomScale="130" zoomScaleNormal="100" zoomScaleSheetLayoutView="130" workbookViewId="0">
      <selection activeCell="D7" sqref="D7"/>
    </sheetView>
  </sheetViews>
  <sheetFormatPr defaultColWidth="9.140625" defaultRowHeight="15"/>
  <cols>
    <col min="1" max="1" width="6.5703125" style="3" customWidth="1"/>
    <col min="2" max="2" width="78" style="10" customWidth="1"/>
    <col min="3" max="3" width="5.5703125" style="10" customWidth="1"/>
    <col min="4" max="4" width="9.7109375" style="14" customWidth="1"/>
    <col min="5" max="5" width="17" style="15" customWidth="1"/>
    <col min="6" max="6" width="17.7109375" style="15" customWidth="1"/>
    <col min="7" max="7" width="9.140625" style="10"/>
    <col min="8" max="8" width="12.140625" style="10" bestFit="1" customWidth="1"/>
    <col min="9" max="9" width="24" style="10" customWidth="1"/>
    <col min="10" max="16384" width="9.140625" style="10"/>
  </cols>
  <sheetData>
    <row r="1" spans="1:9" ht="35.25" customHeight="1">
      <c r="A1" s="83" t="s">
        <v>98</v>
      </c>
      <c r="B1" s="84"/>
      <c r="C1" s="84"/>
      <c r="D1" s="84"/>
      <c r="E1" s="84"/>
      <c r="F1" s="85"/>
    </row>
    <row r="2" spans="1:9" ht="21.75" customHeight="1">
      <c r="A2" s="86" t="s">
        <v>3</v>
      </c>
      <c r="B2" s="87"/>
      <c r="C2" s="87" t="s">
        <v>0</v>
      </c>
      <c r="D2" s="90" t="s">
        <v>8</v>
      </c>
      <c r="E2" s="92" t="s">
        <v>11</v>
      </c>
      <c r="F2" s="93" t="s">
        <v>99</v>
      </c>
    </row>
    <row r="3" spans="1:9">
      <c r="A3" s="86"/>
      <c r="B3" s="87"/>
      <c r="C3" s="87"/>
      <c r="D3" s="90"/>
      <c r="E3" s="92"/>
      <c r="F3" s="93"/>
    </row>
    <row r="4" spans="1:9">
      <c r="A4" s="23" t="s">
        <v>91</v>
      </c>
      <c r="B4" s="11" t="s">
        <v>116</v>
      </c>
      <c r="C4" s="11"/>
      <c r="D4" s="11"/>
      <c r="E4" s="12"/>
      <c r="F4" s="30"/>
    </row>
    <row r="5" spans="1:9" ht="45">
      <c r="A5" s="31" t="s">
        <v>92</v>
      </c>
      <c r="B5" s="35" t="s">
        <v>100</v>
      </c>
      <c r="C5" s="4" t="s">
        <v>4</v>
      </c>
      <c r="D5" s="37">
        <v>2</v>
      </c>
      <c r="E5" s="54">
        <f>(28.5+55+65+20+81+9+40+120)*1.045</f>
        <v>437.33249999999998</v>
      </c>
      <c r="F5" s="55">
        <f>E5*D5</f>
        <v>874.66499999999996</v>
      </c>
      <c r="H5" s="44"/>
    </row>
    <row r="6" spans="1:9" ht="45">
      <c r="A6" s="31" t="s">
        <v>93</v>
      </c>
      <c r="B6" s="35" t="s">
        <v>101</v>
      </c>
      <c r="C6" s="4" t="s">
        <v>4</v>
      </c>
      <c r="D6" s="37">
        <v>2</v>
      </c>
      <c r="E6" s="54">
        <f>(28.5+55+65+20+81+9+40+120)*1.045</f>
        <v>437.33249999999998</v>
      </c>
      <c r="F6" s="55">
        <f>E6*D6</f>
        <v>874.66499999999996</v>
      </c>
      <c r="H6" s="42"/>
    </row>
    <row r="7" spans="1:9" ht="45">
      <c r="A7" s="31" t="s">
        <v>94</v>
      </c>
      <c r="B7" s="35" t="s">
        <v>102</v>
      </c>
      <c r="C7" s="36" t="s">
        <v>4</v>
      </c>
      <c r="D7" s="37">
        <v>2</v>
      </c>
      <c r="E7" s="54">
        <f>(28.5+55+65+20+81+9+40+120)*1.045</f>
        <v>437.33249999999998</v>
      </c>
      <c r="F7" s="55">
        <f>E7*D7</f>
        <v>874.66499999999996</v>
      </c>
      <c r="H7" s="42"/>
    </row>
    <row r="8" spans="1:9" ht="45">
      <c r="A8" s="31" t="s">
        <v>95</v>
      </c>
      <c r="B8" s="35" t="s">
        <v>123</v>
      </c>
      <c r="C8" s="36" t="s">
        <v>4</v>
      </c>
      <c r="D8" s="37">
        <v>1</v>
      </c>
      <c r="E8" s="54">
        <f>(4447+4002+4224+4002+3557+2224+2700)*1.045/12</f>
        <v>2190.6683333333331</v>
      </c>
      <c r="F8" s="55">
        <f>E8*D8</f>
        <v>2190.6683333333331</v>
      </c>
      <c r="H8" s="42"/>
    </row>
    <row r="9" spans="1:9" s="5" customFormat="1" ht="26.25" customHeight="1" thickBot="1">
      <c r="A9" s="88" t="s">
        <v>57</v>
      </c>
      <c r="B9" s="89"/>
      <c r="C9" s="89"/>
      <c r="D9" s="89"/>
      <c r="E9" s="89"/>
      <c r="F9" s="57">
        <f>SUM(F5:F8)</f>
        <v>4814.663333333333</v>
      </c>
      <c r="H9" s="43"/>
      <c r="I9" s="45"/>
    </row>
    <row r="10" spans="1:9">
      <c r="H10" s="42"/>
      <c r="I10" s="42"/>
    </row>
    <row r="11" spans="1:9">
      <c r="H11" s="42"/>
    </row>
    <row r="12" spans="1:9">
      <c r="H12" s="42"/>
      <c r="I12" s="42"/>
    </row>
    <row r="13" spans="1:9">
      <c r="H13" s="42"/>
    </row>
  </sheetData>
  <sortState ref="B5:F8">
    <sortCondition ref="B5:B8"/>
  </sortState>
  <mergeCells count="7">
    <mergeCell ref="A1:F1"/>
    <mergeCell ref="A9:E9"/>
    <mergeCell ref="F2:F3"/>
    <mergeCell ref="E2:E3"/>
    <mergeCell ref="A2:B3"/>
    <mergeCell ref="C2:C3"/>
    <mergeCell ref="D2:D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C33"/>
  <sheetViews>
    <sheetView view="pageBreakPreview" topLeftCell="A17" zoomScale="175" zoomScaleNormal="100" zoomScaleSheetLayoutView="175" workbookViewId="0">
      <selection activeCell="C33" sqref="C33"/>
    </sheetView>
  </sheetViews>
  <sheetFormatPr defaultColWidth="9.140625" defaultRowHeight="15"/>
  <cols>
    <col min="1" max="1" width="6.5703125" style="1" customWidth="1"/>
    <col min="2" max="2" width="71.140625" style="10" customWidth="1"/>
    <col min="3" max="3" width="12.85546875" style="28" bestFit="1" customWidth="1"/>
    <col min="4" max="4" width="9.140625" style="10"/>
    <col min="5" max="5" width="12.140625" style="10" bestFit="1" customWidth="1"/>
    <col min="6" max="6" width="24" style="10" customWidth="1"/>
    <col min="7" max="16384" width="9.140625" style="10"/>
  </cols>
  <sheetData>
    <row r="1" spans="1:3" ht="31.5" customHeight="1">
      <c r="A1" s="83" t="s">
        <v>166</v>
      </c>
      <c r="B1" s="84"/>
      <c r="C1" s="85"/>
    </row>
    <row r="2" spans="1:3" ht="15" customHeight="1">
      <c r="A2" s="32" t="s">
        <v>54</v>
      </c>
      <c r="B2" s="33" t="s">
        <v>3</v>
      </c>
      <c r="C2" s="26" t="s">
        <v>13</v>
      </c>
    </row>
    <row r="3" spans="1:3">
      <c r="A3" s="23"/>
      <c r="B3" s="2" t="s">
        <v>137</v>
      </c>
      <c r="C3" s="77">
        <f>SUM(C4:C12)</f>
        <v>0.17800000000000002</v>
      </c>
    </row>
    <row r="4" spans="1:3" s="13" customFormat="1">
      <c r="A4" s="24" t="s">
        <v>14</v>
      </c>
      <c r="B4" s="6" t="s">
        <v>73</v>
      </c>
      <c r="C4" s="76">
        <v>0</v>
      </c>
    </row>
    <row r="5" spans="1:3" s="13" customFormat="1">
      <c r="A5" s="24" t="s">
        <v>15</v>
      </c>
      <c r="B5" s="6" t="s">
        <v>74</v>
      </c>
      <c r="C5" s="76">
        <v>0.08</v>
      </c>
    </row>
    <row r="6" spans="1:3" s="13" customFormat="1">
      <c r="A6" s="24" t="s">
        <v>16</v>
      </c>
      <c r="B6" s="6" t="s">
        <v>76</v>
      </c>
      <c r="C6" s="76">
        <v>1.4999999999999999E-2</v>
      </c>
    </row>
    <row r="7" spans="1:3" s="13" customFormat="1">
      <c r="A7" s="24" t="s">
        <v>17</v>
      </c>
      <c r="B7" s="6" t="s">
        <v>75</v>
      </c>
      <c r="C7" s="76">
        <v>0.01</v>
      </c>
    </row>
    <row r="8" spans="1:3" s="13" customFormat="1">
      <c r="A8" s="24" t="s">
        <v>18</v>
      </c>
      <c r="B8" s="6" t="s">
        <v>23</v>
      </c>
      <c r="C8" s="76">
        <v>2E-3</v>
      </c>
    </row>
    <row r="9" spans="1:3" s="13" customFormat="1">
      <c r="A9" s="24" t="s">
        <v>19</v>
      </c>
      <c r="B9" s="6" t="s">
        <v>56</v>
      </c>
      <c r="C9" s="76">
        <v>2.5000000000000001E-2</v>
      </c>
    </row>
    <row r="10" spans="1:3" s="13" customFormat="1">
      <c r="A10" s="24" t="s">
        <v>20</v>
      </c>
      <c r="B10" s="6" t="s">
        <v>124</v>
      </c>
      <c r="C10" s="76">
        <v>0.03</v>
      </c>
    </row>
    <row r="11" spans="1:3" s="13" customFormat="1">
      <c r="A11" s="24" t="s">
        <v>21</v>
      </c>
      <c r="B11" s="6" t="s">
        <v>22</v>
      </c>
      <c r="C11" s="76">
        <v>6.0000000000000001E-3</v>
      </c>
    </row>
    <row r="12" spans="1:3" s="13" customFormat="1">
      <c r="A12" s="24" t="s">
        <v>126</v>
      </c>
      <c r="B12" s="73" t="s">
        <v>125</v>
      </c>
      <c r="C12" s="74">
        <v>0.01</v>
      </c>
    </row>
    <row r="13" spans="1:3" s="13" customFormat="1">
      <c r="A13" s="23"/>
      <c r="B13" s="2" t="s">
        <v>138</v>
      </c>
      <c r="C13" s="77">
        <f>SUM(C14:C22)</f>
        <v>0.20829999999999999</v>
      </c>
    </row>
    <row r="14" spans="1:3" s="13" customFormat="1">
      <c r="A14" s="24" t="s">
        <v>62</v>
      </c>
      <c r="B14" s="6" t="s">
        <v>127</v>
      </c>
      <c r="C14" s="76">
        <v>0</v>
      </c>
    </row>
    <row r="15" spans="1:3" s="13" customFormat="1">
      <c r="A15" s="24" t="s">
        <v>63</v>
      </c>
      <c r="B15" s="6" t="s">
        <v>128</v>
      </c>
      <c r="C15" s="76">
        <v>0</v>
      </c>
    </row>
    <row r="16" spans="1:3" s="13" customFormat="1">
      <c r="A16" s="24" t="s">
        <v>64</v>
      </c>
      <c r="B16" s="6" t="s">
        <v>129</v>
      </c>
      <c r="C16" s="76">
        <v>6.3E-3</v>
      </c>
    </row>
    <row r="17" spans="1:3" s="13" customFormat="1">
      <c r="A17" s="24" t="s">
        <v>65</v>
      </c>
      <c r="B17" s="6" t="s">
        <v>130</v>
      </c>
      <c r="C17" s="76">
        <v>1.2999999999999999E-3</v>
      </c>
    </row>
    <row r="18" spans="1:3" s="13" customFormat="1">
      <c r="A18" s="24" t="s">
        <v>66</v>
      </c>
      <c r="B18" s="6" t="s">
        <v>77</v>
      </c>
      <c r="C18" s="76">
        <v>5.0000000000000001E-4</v>
      </c>
    </row>
    <row r="19" spans="1:3" s="13" customFormat="1">
      <c r="A19" s="24" t="s">
        <v>67</v>
      </c>
      <c r="B19" s="6" t="s">
        <v>131</v>
      </c>
      <c r="C19" s="76">
        <v>2.0000000000000001E-4</v>
      </c>
    </row>
    <row r="20" spans="1:3" s="13" customFormat="1">
      <c r="A20" s="24" t="s">
        <v>68</v>
      </c>
      <c r="B20" s="6" t="s">
        <v>132</v>
      </c>
      <c r="C20" s="76">
        <v>5.5999999999999999E-3</v>
      </c>
    </row>
    <row r="21" spans="1:3" s="13" customFormat="1">
      <c r="A21" s="24" t="s">
        <v>69</v>
      </c>
      <c r="B21" s="6" t="s">
        <v>133</v>
      </c>
      <c r="C21" s="76">
        <v>0.1111</v>
      </c>
    </row>
    <row r="22" spans="1:3" s="13" customFormat="1">
      <c r="A22" s="24" t="s">
        <v>134</v>
      </c>
      <c r="B22" s="6" t="s">
        <v>25</v>
      </c>
      <c r="C22" s="76">
        <v>8.3299999999999999E-2</v>
      </c>
    </row>
    <row r="23" spans="1:3" s="13" customFormat="1">
      <c r="A23" s="23"/>
      <c r="B23" s="2" t="s">
        <v>139</v>
      </c>
      <c r="C23" s="77">
        <f>SUM(C24:C27)</f>
        <v>8.8200000000000001E-2</v>
      </c>
    </row>
    <row r="24" spans="1:3" s="13" customFormat="1">
      <c r="A24" s="24" t="s">
        <v>58</v>
      </c>
      <c r="B24" s="6" t="s">
        <v>26</v>
      </c>
      <c r="C24" s="76">
        <v>4.5499999999999999E-2</v>
      </c>
    </row>
    <row r="25" spans="1:3" s="13" customFormat="1">
      <c r="A25" s="24" t="s">
        <v>59</v>
      </c>
      <c r="B25" s="6" t="s">
        <v>24</v>
      </c>
      <c r="C25" s="76">
        <v>2.2000000000000001E-3</v>
      </c>
    </row>
    <row r="26" spans="1:3" s="13" customFormat="1">
      <c r="A26" s="24" t="s">
        <v>60</v>
      </c>
      <c r="B26" s="6" t="s">
        <v>135</v>
      </c>
      <c r="C26" s="76">
        <v>3.6700000000000003E-2</v>
      </c>
    </row>
    <row r="27" spans="1:3" s="13" customFormat="1">
      <c r="A27" s="24" t="s">
        <v>61</v>
      </c>
      <c r="B27" s="6" t="s">
        <v>136</v>
      </c>
      <c r="C27" s="76">
        <v>3.8E-3</v>
      </c>
    </row>
    <row r="28" spans="1:3" s="13" customFormat="1">
      <c r="A28" s="23"/>
      <c r="B28" s="2" t="s">
        <v>140</v>
      </c>
      <c r="C28" s="77">
        <f>SUM(C29:C31)</f>
        <v>4.2799999999999998E-2</v>
      </c>
    </row>
    <row r="29" spans="1:3" s="13" customFormat="1">
      <c r="A29" s="24" t="s">
        <v>70</v>
      </c>
      <c r="B29" s="6" t="s">
        <v>78</v>
      </c>
      <c r="C29" s="76">
        <v>3.7100000000000001E-2</v>
      </c>
    </row>
    <row r="30" spans="1:3" s="13" customFormat="1">
      <c r="A30" s="24" t="s">
        <v>71</v>
      </c>
      <c r="B30" s="6" t="s">
        <v>141</v>
      </c>
      <c r="C30" s="76">
        <v>3.8E-3</v>
      </c>
    </row>
    <row r="31" spans="1:3" s="13" customFormat="1">
      <c r="A31" s="24" t="s">
        <v>72</v>
      </c>
      <c r="B31" s="6" t="s">
        <v>142</v>
      </c>
      <c r="C31" s="76">
        <v>1.9E-3</v>
      </c>
    </row>
    <row r="32" spans="1:3" s="13" customFormat="1">
      <c r="A32" s="25"/>
      <c r="B32" s="18"/>
      <c r="C32" s="27"/>
    </row>
    <row r="33" spans="1:3" s="5" customFormat="1" ht="24.75" customHeight="1" thickBot="1">
      <c r="A33" s="88" t="s">
        <v>97</v>
      </c>
      <c r="B33" s="89"/>
      <c r="C33" s="22">
        <f>C3+C13+C23+C28</f>
        <v>0.51729999999999998</v>
      </c>
    </row>
  </sheetData>
  <mergeCells count="2">
    <mergeCell ref="A1:C1"/>
    <mergeCell ref="A33:B3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K18"/>
  <sheetViews>
    <sheetView view="pageBreakPreview" zoomScaleNormal="100" zoomScaleSheetLayoutView="100" workbookViewId="0">
      <selection activeCell="D16" sqref="D16"/>
    </sheetView>
  </sheetViews>
  <sheetFormatPr defaultColWidth="9.140625" defaultRowHeight="15"/>
  <cols>
    <col min="1" max="1" width="6.5703125" style="3" customWidth="1"/>
    <col min="2" max="2" width="68.28515625" style="10" customWidth="1"/>
    <col min="3" max="3" width="5.5703125" style="10" customWidth="1"/>
    <col min="4" max="4" width="16.42578125" style="14" customWidth="1"/>
    <col min="5" max="7" width="17.28515625" style="14" hidden="1" customWidth="1"/>
    <col min="8" max="8" width="16.28515625" style="15" customWidth="1"/>
    <col min="9" max="9" width="17.85546875" style="15" customWidth="1"/>
    <col min="10" max="10" width="9.140625" style="10"/>
    <col min="11" max="11" width="12.140625" style="10" bestFit="1" customWidth="1"/>
    <col min="12" max="12" width="24" style="10" customWidth="1"/>
    <col min="13" max="16384" width="9.140625" style="10"/>
  </cols>
  <sheetData>
    <row r="1" spans="1:11" ht="18.75">
      <c r="A1" s="96" t="s">
        <v>160</v>
      </c>
      <c r="B1" s="97"/>
      <c r="C1" s="97"/>
      <c r="D1" s="97"/>
      <c r="E1" s="97"/>
      <c r="F1" s="97"/>
      <c r="G1" s="97"/>
      <c r="H1" s="97"/>
      <c r="I1" s="98"/>
    </row>
    <row r="2" spans="1:11" ht="45">
      <c r="A2" s="86" t="s">
        <v>3</v>
      </c>
      <c r="B2" s="87"/>
      <c r="C2" s="60" t="s">
        <v>0</v>
      </c>
      <c r="D2" s="61" t="s">
        <v>114</v>
      </c>
      <c r="E2" s="7" t="s">
        <v>32</v>
      </c>
      <c r="F2" s="8" t="s">
        <v>33</v>
      </c>
      <c r="G2" s="9" t="s">
        <v>34</v>
      </c>
      <c r="H2" s="62" t="s">
        <v>35</v>
      </c>
      <c r="I2" s="64" t="s">
        <v>115</v>
      </c>
    </row>
    <row r="3" spans="1:11">
      <c r="A3" s="23" t="s">
        <v>45</v>
      </c>
      <c r="B3" s="11" t="s">
        <v>38</v>
      </c>
      <c r="C3" s="11"/>
      <c r="D3" s="11"/>
      <c r="E3" s="11"/>
      <c r="F3" s="11"/>
      <c r="G3" s="11"/>
      <c r="H3" s="12"/>
      <c r="I3" s="69"/>
    </row>
    <row r="4" spans="1:11">
      <c r="A4" s="29" t="s">
        <v>46</v>
      </c>
      <c r="B4" s="6" t="s">
        <v>152</v>
      </c>
      <c r="C4" s="4" t="s">
        <v>43</v>
      </c>
      <c r="D4" s="17">
        <f>2*3</f>
        <v>6</v>
      </c>
      <c r="E4" s="58">
        <f>51+24.9</f>
        <v>75.900000000000006</v>
      </c>
      <c r="F4" s="58"/>
      <c r="G4" s="58"/>
      <c r="H4" s="48">
        <v>139</v>
      </c>
      <c r="I4" s="49">
        <f>H4*D4</f>
        <v>834</v>
      </c>
      <c r="K4" s="72"/>
    </row>
    <row r="5" spans="1:11">
      <c r="A5" s="23" t="s">
        <v>47</v>
      </c>
      <c r="B5" s="11" t="s">
        <v>39</v>
      </c>
      <c r="C5" s="11"/>
      <c r="D5" s="16"/>
      <c r="E5" s="59"/>
      <c r="F5" s="59"/>
      <c r="G5" s="59"/>
      <c r="H5" s="59"/>
      <c r="I5" s="70"/>
      <c r="K5" s="72"/>
    </row>
    <row r="6" spans="1:11" ht="30">
      <c r="A6" s="29" t="s">
        <v>48</v>
      </c>
      <c r="B6" s="6" t="s">
        <v>154</v>
      </c>
      <c r="C6" s="4" t="s">
        <v>4</v>
      </c>
      <c r="D6" s="17">
        <v>6</v>
      </c>
      <c r="E6" s="58">
        <v>37.49</v>
      </c>
      <c r="F6" s="58">
        <v>32.21</v>
      </c>
      <c r="G6" s="58">
        <v>37.49</v>
      </c>
      <c r="H6" s="48">
        <v>56.82</v>
      </c>
      <c r="I6" s="49">
        <f t="shared" ref="I6:I15" si="0">H6*D6</f>
        <v>340.92</v>
      </c>
      <c r="K6" s="72"/>
    </row>
    <row r="7" spans="1:11" ht="30">
      <c r="A7" s="29" t="s">
        <v>49</v>
      </c>
      <c r="B7" s="6" t="s">
        <v>155</v>
      </c>
      <c r="C7" s="4" t="s">
        <v>4</v>
      </c>
      <c r="D7" s="17">
        <f>2*3</f>
        <v>6</v>
      </c>
      <c r="E7" s="58">
        <v>115.69</v>
      </c>
      <c r="F7" s="58">
        <v>99.9</v>
      </c>
      <c r="G7" s="58"/>
      <c r="H7" s="48">
        <v>145</v>
      </c>
      <c r="I7" s="49">
        <f t="shared" si="0"/>
        <v>870</v>
      </c>
      <c r="K7" s="72"/>
    </row>
    <row r="8" spans="1:11">
      <c r="A8" s="29" t="s">
        <v>50</v>
      </c>
      <c r="B8" s="6" t="s">
        <v>41</v>
      </c>
      <c r="C8" s="4" t="s">
        <v>4</v>
      </c>
      <c r="D8" s="17">
        <f>2</f>
        <v>2</v>
      </c>
      <c r="E8" s="58">
        <v>15.25</v>
      </c>
      <c r="F8" s="58"/>
      <c r="G8" s="58"/>
      <c r="H8" s="48">
        <v>27</v>
      </c>
      <c r="I8" s="49">
        <f t="shared" si="0"/>
        <v>54</v>
      </c>
      <c r="K8" s="72"/>
    </row>
    <row r="9" spans="1:11" ht="30">
      <c r="A9" s="29" t="s">
        <v>117</v>
      </c>
      <c r="B9" s="6" t="s">
        <v>153</v>
      </c>
      <c r="C9" s="4" t="s">
        <v>4</v>
      </c>
      <c r="D9" s="17">
        <f>2</f>
        <v>2</v>
      </c>
      <c r="E9" s="58">
        <v>36.299999999999997</v>
      </c>
      <c r="F9" s="58">
        <v>49.9</v>
      </c>
      <c r="G9" s="58">
        <v>45.68</v>
      </c>
      <c r="H9" s="48">
        <v>45.938200000000002</v>
      </c>
      <c r="I9" s="49">
        <f t="shared" si="0"/>
        <v>91.876400000000004</v>
      </c>
      <c r="K9" s="72"/>
    </row>
    <row r="10" spans="1:11">
      <c r="A10" s="29" t="s">
        <v>118</v>
      </c>
      <c r="B10" s="6" t="s">
        <v>96</v>
      </c>
      <c r="C10" s="4" t="s">
        <v>4</v>
      </c>
      <c r="D10" s="17">
        <v>2</v>
      </c>
      <c r="E10" s="58">
        <v>39.5</v>
      </c>
      <c r="F10" s="58"/>
      <c r="G10" s="58"/>
      <c r="H10" s="48">
        <v>67</v>
      </c>
      <c r="I10" s="49">
        <f t="shared" si="0"/>
        <v>134</v>
      </c>
      <c r="K10" s="72"/>
    </row>
    <row r="11" spans="1:11">
      <c r="A11" s="29" t="s">
        <v>119</v>
      </c>
      <c r="B11" s="6" t="s">
        <v>40</v>
      </c>
      <c r="C11" s="4" t="s">
        <v>36</v>
      </c>
      <c r="D11" s="17">
        <v>6</v>
      </c>
      <c r="E11" s="58">
        <v>19.420000000000002</v>
      </c>
      <c r="F11" s="58">
        <v>29.61</v>
      </c>
      <c r="G11" s="58">
        <v>16.5</v>
      </c>
      <c r="H11" s="48">
        <v>26.99</v>
      </c>
      <c r="I11" s="49">
        <f t="shared" si="0"/>
        <v>161.94</v>
      </c>
      <c r="K11" s="72"/>
    </row>
    <row r="12" spans="1:11" ht="45">
      <c r="A12" s="29" t="s">
        <v>51</v>
      </c>
      <c r="B12" s="6" t="s">
        <v>156</v>
      </c>
      <c r="C12" s="4" t="s">
        <v>4</v>
      </c>
      <c r="D12" s="17">
        <f>2*3</f>
        <v>6</v>
      </c>
      <c r="E12" s="58">
        <v>15.35</v>
      </c>
      <c r="F12" s="58"/>
      <c r="G12" s="58"/>
      <c r="H12" s="48">
        <v>23.05</v>
      </c>
      <c r="I12" s="49">
        <f t="shared" si="0"/>
        <v>138.30000000000001</v>
      </c>
      <c r="K12" s="72"/>
    </row>
    <row r="13" spans="1:11" ht="60">
      <c r="A13" s="29" t="s">
        <v>120</v>
      </c>
      <c r="B13" s="6" t="s">
        <v>157</v>
      </c>
      <c r="C13" s="4" t="s">
        <v>4</v>
      </c>
      <c r="D13" s="17">
        <f>2*3</f>
        <v>6</v>
      </c>
      <c r="E13" s="58">
        <v>21.2</v>
      </c>
      <c r="F13" s="58"/>
      <c r="G13" s="58"/>
      <c r="H13" s="48">
        <v>28.9</v>
      </c>
      <c r="I13" s="49">
        <f t="shared" si="0"/>
        <v>173.39999999999998</v>
      </c>
      <c r="K13" s="72"/>
    </row>
    <row r="14" spans="1:11" ht="30">
      <c r="A14" s="29" t="s">
        <v>121</v>
      </c>
      <c r="B14" s="35" t="s">
        <v>158</v>
      </c>
      <c r="C14" s="36" t="s">
        <v>42</v>
      </c>
      <c r="D14" s="17">
        <v>3</v>
      </c>
      <c r="E14" s="58">
        <v>17.989999999999998</v>
      </c>
      <c r="F14" s="58">
        <v>15</v>
      </c>
      <c r="G14" s="58">
        <v>13.9</v>
      </c>
      <c r="H14" s="48">
        <v>32</v>
      </c>
      <c r="I14" s="49">
        <f t="shared" si="0"/>
        <v>96</v>
      </c>
      <c r="K14" s="72"/>
    </row>
    <row r="15" spans="1:11" ht="30">
      <c r="A15" s="29" t="s">
        <v>122</v>
      </c>
      <c r="B15" s="35" t="s">
        <v>159</v>
      </c>
      <c r="C15" s="36" t="s">
        <v>4</v>
      </c>
      <c r="D15" s="17">
        <v>6</v>
      </c>
      <c r="E15" s="58">
        <v>34.9</v>
      </c>
      <c r="F15" s="58">
        <v>14.9</v>
      </c>
      <c r="G15" s="58">
        <v>32.9</v>
      </c>
      <c r="H15" s="48">
        <v>41.8</v>
      </c>
      <c r="I15" s="49">
        <f t="shared" si="0"/>
        <v>250.79999999999998</v>
      </c>
      <c r="K15" s="72"/>
    </row>
    <row r="16" spans="1:11">
      <c r="A16" s="23" t="s">
        <v>47</v>
      </c>
      <c r="B16" s="11" t="s">
        <v>161</v>
      </c>
      <c r="C16" s="11"/>
      <c r="D16" s="16"/>
      <c r="E16" s="59"/>
      <c r="F16" s="59"/>
      <c r="G16" s="59"/>
      <c r="H16" s="59"/>
      <c r="I16" s="70"/>
      <c r="K16" s="72"/>
    </row>
    <row r="17" spans="1:11">
      <c r="A17" s="29" t="s">
        <v>48</v>
      </c>
      <c r="B17" s="6" t="s">
        <v>162</v>
      </c>
      <c r="C17" s="4" t="s">
        <v>4</v>
      </c>
      <c r="D17" s="17">
        <v>1</v>
      </c>
      <c r="E17" s="58">
        <v>37.49</v>
      </c>
      <c r="F17" s="58">
        <v>32.21</v>
      </c>
      <c r="G17" s="58">
        <v>37.49</v>
      </c>
      <c r="H17" s="75">
        <v>233.94</v>
      </c>
      <c r="I17" s="49">
        <f t="shared" ref="I17" si="1">H17*D17</f>
        <v>233.94</v>
      </c>
      <c r="K17" s="72"/>
    </row>
    <row r="18" spans="1:11" s="5" customFormat="1" ht="16.5" thickBot="1">
      <c r="A18" s="94" t="s">
        <v>57</v>
      </c>
      <c r="B18" s="95"/>
      <c r="C18" s="95"/>
      <c r="D18" s="95"/>
      <c r="E18" s="95"/>
      <c r="F18" s="95"/>
      <c r="G18" s="95"/>
      <c r="H18" s="95"/>
      <c r="I18" s="71">
        <f>SUM(I3:I17)</f>
        <v>3379.1764000000007</v>
      </c>
    </row>
  </sheetData>
  <sortState ref="B6:I15">
    <sortCondition ref="B6:B15"/>
  </sortState>
  <mergeCells count="3">
    <mergeCell ref="A2:B2"/>
    <mergeCell ref="A18:H18"/>
    <mergeCell ref="A1:I1"/>
  </mergeCells>
  <printOptions horizontalCentered="1"/>
  <pageMargins left="0.51181102362204722" right="0.51181102362204722" top="1.1811023622047245" bottom="0.78740157480314965" header="0.31496062992125984" footer="0.31496062992125984"/>
  <pageSetup paperSize="9" scale="70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RESUMO GERAL</vt:lpstr>
      <vt:lpstr>LDI</vt:lpstr>
      <vt:lpstr>Mão de obra</vt:lpstr>
      <vt:lpstr>Segurança Trabalho</vt:lpstr>
      <vt:lpstr>Encargos Sociais</vt:lpstr>
      <vt:lpstr>EPIs e Uniformes</vt:lpstr>
      <vt:lpstr>'Encargos Sociais'!Area_de_impressao</vt:lpstr>
      <vt:lpstr>'EPIs e Uniformes'!Area_de_impressao</vt:lpstr>
      <vt:lpstr>LDI!Area_de_impressao</vt:lpstr>
      <vt:lpstr>'Mão de obra'!Area_de_impressao</vt:lpstr>
      <vt:lpstr>'RESUMO GERAL'!Area_de_impressao</vt:lpstr>
      <vt:lpstr>'Segurança Trabalho'!Area_de_impressao</vt:lpstr>
      <vt:lpstr>PERCENTUAL_ENCARGOS</vt:lpstr>
      <vt:lpstr>'Mão de obra'!QTD_MO</vt:lpstr>
      <vt:lpstr>TAXA_LDI</vt:lpstr>
      <vt:lpstr>VALOR_TOTAL_EXAMES_MENSAL_MO</vt:lpstr>
      <vt:lpstr>'Mão de obra'!VALOR_TOTAL_MENSAL_MO</vt:lpstr>
      <vt:lpstr>VALOR_TOTAL_MENSAL_MO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Polyane Vieira Meireles</cp:lastModifiedBy>
  <cp:lastPrinted>2022-01-26T17:06:27Z</cp:lastPrinted>
  <dcterms:created xsi:type="dcterms:W3CDTF">2013-04-26T13:32:04Z</dcterms:created>
  <dcterms:modified xsi:type="dcterms:W3CDTF">2022-05-05T19:59:20Z</dcterms:modified>
</cp:coreProperties>
</file>